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4\Wholesale_Sales\Operations\Product Catalogue Updates\"/>
    </mc:Choice>
  </mc:AlternateContent>
  <xr:revisionPtr revIDLastSave="0" documentId="13_ncr:1_{73D700BD-5EA2-425E-8641-EF641FDA1420}" xr6:coauthVersionLast="47" xr6:coauthVersionMax="47" xr10:uidLastSave="{00000000-0000-0000-0000-000000000000}"/>
  <bookViews>
    <workbookView xWindow="-107" yWindow="-107" windowWidth="20847" windowHeight="11369" xr2:uid="{00000000-000D-0000-FFFF-FFFF00000000}"/>
  </bookViews>
  <sheets>
    <sheet name="2024" sheetId="14" r:id="rId1"/>
    <sheet name="2023" sheetId="13" r:id="rId2"/>
    <sheet name="2022" sheetId="12" r:id="rId3"/>
    <sheet name="2021" sheetId="11" r:id="rId4"/>
    <sheet name="2020" sheetId="10" r:id="rId5"/>
    <sheet name="2019" sheetId="7" r:id="rId6"/>
    <sheet name="2018" sheetId="6" r:id="rId7"/>
    <sheet name="2017" sheetId="1" r:id="rId8"/>
    <sheet name="2016" sheetId="5" r:id="rId9"/>
  </sheets>
  <definedNames>
    <definedName name="_xlnm._FilterDatabase" localSheetId="8" hidden="1">'2016'!$A$3:$F$198</definedName>
    <definedName name="_xlnm._FilterDatabase" localSheetId="7" hidden="1">'2017'!$A$3:$F$495</definedName>
    <definedName name="_xlnm._FilterDatabase" localSheetId="6" hidden="1">'2018'!$A$3:$F$399</definedName>
    <definedName name="_xlnm._FilterDatabase" localSheetId="5" hidden="1">'2019'!$A$3:$F$386</definedName>
    <definedName name="_xlnm._FilterDatabase" localSheetId="4" hidden="1">'2020'!$A$3:$F$798</definedName>
    <definedName name="_xlnm._FilterDatabase" localSheetId="3" hidden="1">'2021'!$A$3:$F$464</definedName>
    <definedName name="_xlnm._FilterDatabase" localSheetId="2" hidden="1">'2022'!$A$3:$F$582</definedName>
    <definedName name="_xlnm._FilterDatabase" localSheetId="1" hidden="1">'2023'!$A$3:$F$602</definedName>
    <definedName name="_xlnm._FilterDatabase" localSheetId="0" hidden="1">'2024'!$A$3:$F$170</definedName>
    <definedName name="_xlnm.Print_Area" localSheetId="8">'2016'!$A$1:$F$166</definedName>
    <definedName name="_xlnm.Print_Area" localSheetId="7">'2017'!$A$1:$F$495</definedName>
    <definedName name="_xlnm.Print_Area" localSheetId="6">'2018'!$A$1:$F$397</definedName>
    <definedName name="_xlnm.Print_Area" localSheetId="5">'2019'!$A$1:$F$386</definedName>
    <definedName name="_xlnm.Print_Area" localSheetId="4">'2020'!$A$1:$F$798</definedName>
    <definedName name="_xlnm.Print_Area" localSheetId="3">'2021'!$A$1:$F$462</definedName>
    <definedName name="_xlnm.Print_Area" localSheetId="2">'2022'!$A$1:$F$582</definedName>
    <definedName name="_xlnm.Print_Titles" localSheetId="1">'2023'!$1:$3</definedName>
    <definedName name="_xlnm.Print_Titles" localSheetId="0">'2024'!$1:$3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4" l="1"/>
  <c r="C6" i="14"/>
  <c r="C5" i="14"/>
  <c r="C4" i="14"/>
  <c r="C9" i="14"/>
  <c r="C8" i="14"/>
  <c r="C15" i="14"/>
  <c r="C14" i="14"/>
  <c r="C13" i="14"/>
  <c r="C16" i="14"/>
  <c r="C17" i="14"/>
  <c r="C19" i="14"/>
  <c r="C18" i="14"/>
  <c r="C20" i="14"/>
  <c r="C21" i="14"/>
  <c r="C24" i="14"/>
  <c r="C31" i="14"/>
  <c r="C30" i="14"/>
  <c r="C29" i="14"/>
  <c r="C28" i="14"/>
  <c r="C27" i="14"/>
  <c r="C26" i="14"/>
  <c r="C25" i="14"/>
  <c r="C38" i="14"/>
  <c r="C37" i="14"/>
  <c r="C36" i="14"/>
  <c r="C35" i="14"/>
  <c r="C40" i="14"/>
  <c r="C41" i="14"/>
  <c r="C42" i="14" l="1"/>
  <c r="C44" i="14"/>
  <c r="C43" i="14"/>
  <c r="C45" i="14"/>
  <c r="C46" i="14"/>
  <c r="C49" i="14"/>
  <c r="C52" i="14"/>
  <c r="C51" i="14"/>
  <c r="C50" i="14"/>
  <c r="C56" i="14"/>
  <c r="C55" i="14"/>
  <c r="C63" i="14"/>
  <c r="C64" i="14"/>
  <c r="C65" i="14"/>
  <c r="C66" i="14"/>
  <c r="C67" i="14"/>
  <c r="C73" i="14"/>
  <c r="C72" i="14"/>
  <c r="C71" i="14"/>
  <c r="C70" i="14"/>
  <c r="C76" i="14"/>
  <c r="C75" i="14"/>
  <c r="C74" i="14" l="1"/>
  <c r="C54" i="14"/>
  <c r="C53" i="14"/>
  <c r="C94" i="14"/>
  <c r="C93" i="14"/>
  <c r="C92" i="14"/>
  <c r="C78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7" i="14"/>
  <c r="C106" i="14"/>
  <c r="C105" i="14"/>
  <c r="C104" i="14"/>
  <c r="C103" i="14"/>
  <c r="C102" i="14"/>
  <c r="C109" i="14"/>
  <c r="C108" i="14"/>
  <c r="C115" i="14"/>
  <c r="C120" i="14"/>
  <c r="C119" i="14"/>
  <c r="C118" i="14"/>
  <c r="C117" i="14"/>
  <c r="C116" i="14"/>
  <c r="C114" i="14"/>
  <c r="C113" i="14"/>
  <c r="C112" i="14"/>
  <c r="C111" i="14"/>
  <c r="C121" i="14"/>
  <c r="C132" i="14"/>
  <c r="C131" i="14"/>
  <c r="C133" i="14" l="1"/>
  <c r="C137" i="14"/>
  <c r="C136" i="14"/>
  <c r="C135" i="14"/>
  <c r="C134" i="14"/>
  <c r="C139" i="14"/>
  <c r="C138" i="14"/>
  <c r="C146" i="14"/>
  <c r="C148" i="14"/>
  <c r="C156" i="14"/>
  <c r="C150" i="14"/>
  <c r="C149" i="14"/>
  <c r="C151" i="14"/>
  <c r="C157" i="14"/>
  <c r="C8" i="13"/>
  <c r="C155" i="14"/>
  <c r="C154" i="14"/>
  <c r="C153" i="14"/>
  <c r="C158" i="14"/>
  <c r="C159" i="14"/>
  <c r="C170" i="14"/>
  <c r="C169" i="14"/>
  <c r="C168" i="14"/>
  <c r="C167" i="14"/>
  <c r="C166" i="14"/>
  <c r="C165" i="14"/>
  <c r="C164" i="14"/>
  <c r="C163" i="14"/>
  <c r="C162" i="14"/>
  <c r="C14" i="13"/>
  <c r="C20" i="13"/>
  <c r="C19" i="13"/>
  <c r="C18" i="13"/>
  <c r="C17" i="13"/>
  <c r="C16" i="13"/>
  <c r="C15" i="13"/>
  <c r="C78" i="13"/>
  <c r="C23" i="13"/>
  <c r="C22" i="13"/>
  <c r="C26" i="13"/>
  <c r="C25" i="13"/>
  <c r="C24" i="13"/>
  <c r="C33" i="13"/>
  <c r="C32" i="13"/>
  <c r="C31" i="13"/>
  <c r="C30" i="13"/>
  <c r="C29" i="13"/>
  <c r="C28" i="13"/>
  <c r="C27" i="13"/>
  <c r="C35" i="13"/>
  <c r="C34" i="13"/>
  <c r="C36" i="13"/>
  <c r="C44" i="13"/>
  <c r="C43" i="13"/>
  <c r="C42" i="13"/>
  <c r="C41" i="13"/>
  <c r="C40" i="13"/>
  <c r="C39" i="13"/>
  <c r="C38" i="13"/>
  <c r="C37" i="13"/>
  <c r="C46" i="13"/>
  <c r="C45" i="13"/>
  <c r="C50" i="13"/>
  <c r="C49" i="13"/>
  <c r="C48" i="13"/>
  <c r="C47" i="13"/>
  <c r="C85" i="13"/>
  <c r="C84" i="13"/>
  <c r="C83" i="13"/>
  <c r="C82" i="13"/>
  <c r="C91" i="13"/>
  <c r="C90" i="13"/>
  <c r="C89" i="13"/>
  <c r="C88" i="13"/>
  <c r="C87" i="13"/>
  <c r="C86" i="13"/>
  <c r="C99" i="13"/>
  <c r="C98" i="13"/>
  <c r="C97" i="13"/>
  <c r="C96" i="13"/>
  <c r="C95" i="13"/>
  <c r="C94" i="13"/>
  <c r="C104" i="13"/>
  <c r="C103" i="13"/>
  <c r="C102" i="13"/>
  <c r="C101" i="13"/>
  <c r="C100" i="13"/>
  <c r="C110" i="13"/>
  <c r="C109" i="13"/>
  <c r="C108" i="13"/>
  <c r="C107" i="13"/>
  <c r="C106" i="13"/>
  <c r="C105" i="13"/>
  <c r="C113" i="13"/>
  <c r="C117" i="13"/>
  <c r="C118" i="13"/>
  <c r="C120" i="13"/>
  <c r="C123" i="13"/>
  <c r="C124" i="13"/>
  <c r="C125" i="13"/>
  <c r="C126" i="13"/>
  <c r="C127" i="13"/>
  <c r="C128" i="13"/>
  <c r="C129" i="13"/>
  <c r="C131" i="13"/>
  <c r="C130" i="13"/>
  <c r="C135" i="13"/>
  <c r="C134" i="13"/>
  <c r="C133" i="13"/>
  <c r="C132" i="13"/>
  <c r="C136" i="13"/>
  <c r="C137" i="13"/>
  <c r="C150" i="13"/>
  <c r="C151" i="13"/>
  <c r="C153" i="13"/>
  <c r="C152" i="13"/>
  <c r="C154" i="13"/>
  <c r="C155" i="13"/>
  <c r="C156" i="13"/>
  <c r="C157" i="13"/>
  <c r="C160" i="13"/>
  <c r="C161" i="13"/>
  <c r="C162" i="13"/>
  <c r="C164" i="13"/>
  <c r="C165" i="13"/>
  <c r="C166" i="13"/>
  <c r="C170" i="13"/>
  <c r="C169" i="13"/>
  <c r="C168" i="13"/>
  <c r="C167" i="13"/>
  <c r="C171" i="13"/>
  <c r="C173" i="13"/>
  <c r="C174" i="13"/>
  <c r="C177" i="13"/>
  <c r="C178" i="13"/>
  <c r="C191" i="13"/>
  <c r="C190" i="13"/>
  <c r="C189" i="13"/>
  <c r="C188" i="13"/>
  <c r="C187" i="13"/>
  <c r="C186" i="13"/>
  <c r="C185" i="13"/>
  <c r="C184" i="13"/>
  <c r="C183" i="13"/>
  <c r="C193" i="13"/>
  <c r="C192" i="13"/>
  <c r="C206" i="13"/>
  <c r="C216" i="13"/>
  <c r="C215" i="13"/>
  <c r="C214" i="13"/>
  <c r="C213" i="13"/>
  <c r="A216" i="13"/>
  <c r="A215" i="13"/>
  <c r="C219" i="13"/>
  <c r="C220" i="13"/>
  <c r="C223" i="13"/>
  <c r="C225" i="13"/>
  <c r="C224" i="13"/>
  <c r="C229" i="13"/>
  <c r="C228" i="13"/>
  <c r="C227" i="13"/>
  <c r="C226" i="13"/>
  <c r="C233" i="13"/>
  <c r="C234" i="13"/>
  <c r="C236" i="13"/>
  <c r="C235" i="13"/>
  <c r="C239" i="13"/>
  <c r="C240" i="13"/>
  <c r="C254" i="13"/>
  <c r="C255" i="13"/>
  <c r="C260" i="13"/>
  <c r="C259" i="13"/>
  <c r="C258" i="13"/>
  <c r="C257" i="13"/>
  <c r="C256" i="13"/>
  <c r="C261" i="13"/>
  <c r="C263" i="13"/>
  <c r="C267" i="13"/>
  <c r="C268" i="13"/>
  <c r="C269" i="13"/>
  <c r="C270" i="13"/>
  <c r="C277" i="13"/>
  <c r="C278" i="13"/>
  <c r="C279" i="13"/>
  <c r="C280" i="13"/>
  <c r="C281" i="13"/>
  <c r="C282" i="13"/>
  <c r="C283" i="13"/>
  <c r="C284" i="13"/>
  <c r="C297" i="13"/>
  <c r="C303" i="13"/>
  <c r="C315" i="13"/>
  <c r="C316" i="13"/>
  <c r="C317" i="13"/>
  <c r="C332" i="13"/>
  <c r="C331" i="13"/>
  <c r="C330" i="13"/>
  <c r="C329" i="13"/>
  <c r="C328" i="13"/>
  <c r="C327" i="13"/>
  <c r="C326" i="13"/>
  <c r="C325" i="13"/>
  <c r="C324" i="13"/>
  <c r="C323" i="13"/>
  <c r="C322" i="13"/>
  <c r="C321" i="13"/>
  <c r="C320" i="13"/>
  <c r="C319" i="13"/>
  <c r="C318" i="13"/>
  <c r="C333" i="13"/>
  <c r="C334" i="13" l="1"/>
  <c r="C337" i="13"/>
  <c r="C336" i="13"/>
  <c r="C335" i="13"/>
  <c r="C338" i="13"/>
  <c r="C339" i="13"/>
  <c r="C351" i="13"/>
  <c r="C352" i="13"/>
  <c r="C353" i="13"/>
  <c r="C354" i="13"/>
  <c r="C355" i="13"/>
  <c r="C356" i="13"/>
  <c r="C359" i="13"/>
  <c r="C358" i="13"/>
  <c r="C357" i="13"/>
  <c r="C367" i="13"/>
  <c r="C366" i="13"/>
  <c r="C385" i="13"/>
  <c r="C386" i="13"/>
  <c r="C387" i="13"/>
  <c r="C390" i="13"/>
  <c r="C389" i="13"/>
  <c r="C388" i="13"/>
  <c r="C391" i="13"/>
  <c r="C392" i="13"/>
  <c r="C393" i="13"/>
  <c r="C394" i="13"/>
  <c r="C402" i="13"/>
  <c r="C404" i="13"/>
  <c r="C403" i="13"/>
  <c r="C405" i="13"/>
  <c r="C406" i="13"/>
  <c r="C407" i="13"/>
  <c r="C410" i="13"/>
  <c r="C430" i="13"/>
  <c r="C438" i="13"/>
  <c r="C440" i="13"/>
  <c r="C439" i="13"/>
  <c r="C441" i="13"/>
  <c r="C452" i="13"/>
  <c r="C454" i="13"/>
  <c r="C453" i="13"/>
  <c r="C455" i="13"/>
  <c r="C458" i="13"/>
  <c r="C457" i="13"/>
  <c r="C459" i="13"/>
  <c r="C463" i="13"/>
  <c r="C462" i="13"/>
  <c r="C461" i="13"/>
  <c r="C460" i="13"/>
  <c r="C465" i="13"/>
  <c r="C470" i="13"/>
  <c r="C469" i="13"/>
  <c r="C479" i="13"/>
  <c r="C478" i="13"/>
  <c r="C477" i="13"/>
  <c r="C480" i="13"/>
  <c r="C481" i="13"/>
  <c r="C482" i="13"/>
  <c r="C490" i="13"/>
  <c r="C489" i="13"/>
  <c r="C488" i="13"/>
  <c r="C492" i="13"/>
  <c r="C491" i="13"/>
  <c r="C493" i="13"/>
  <c r="C494" i="13"/>
  <c r="C495" i="13"/>
  <c r="C496" i="13"/>
  <c r="C501" i="13"/>
  <c r="C502" i="13"/>
  <c r="C505" i="13"/>
  <c r="C503" i="13"/>
  <c r="C504" i="13"/>
  <c r="C506" i="13"/>
  <c r="C514" i="13"/>
  <c r="C513" i="13"/>
  <c r="C512" i="13"/>
  <c r="C511" i="13"/>
  <c r="C510" i="13"/>
  <c r="C509" i="13"/>
  <c r="C508" i="13"/>
  <c r="C507" i="13"/>
  <c r="C518" i="13"/>
  <c r="C520" i="13"/>
  <c r="C519" i="13"/>
  <c r="C525" i="13"/>
  <c r="C524" i="13"/>
  <c r="C523" i="13"/>
  <c r="C527" i="13"/>
  <c r="C528" i="13"/>
  <c r="C529" i="13"/>
  <c r="C530" i="13"/>
  <c r="C536" i="13"/>
  <c r="C535" i="13"/>
  <c r="C534" i="13"/>
  <c r="C533" i="13"/>
  <c r="C532" i="13"/>
  <c r="C531" i="13"/>
  <c r="C537" i="13"/>
  <c r="C538" i="13"/>
  <c r="C539" i="13"/>
  <c r="C540" i="13"/>
  <c r="C548" i="13"/>
  <c r="C547" i="13"/>
  <c r="C546" i="13"/>
  <c r="C545" i="13"/>
  <c r="C544" i="13"/>
  <c r="C543" i="13"/>
  <c r="C549" i="13"/>
  <c r="C550" i="13"/>
  <c r="C551" i="13"/>
  <c r="A553" i="13"/>
  <c r="C553" i="13"/>
  <c r="C559" i="13"/>
  <c r="C560" i="13"/>
  <c r="C561" i="13"/>
  <c r="C569" i="13"/>
  <c r="C578" i="13"/>
  <c r="C580" i="13"/>
  <c r="C581" i="13"/>
  <c r="C583" i="13" l="1"/>
  <c r="C590" i="13"/>
  <c r="C589" i="13"/>
  <c r="C591" i="13"/>
  <c r="C602" i="13"/>
  <c r="C592" i="13"/>
  <c r="C6" i="12"/>
  <c r="C7" i="12"/>
  <c r="C17" i="12"/>
  <c r="C18" i="12"/>
  <c r="C20" i="12"/>
  <c r="C19" i="12"/>
  <c r="C21" i="12"/>
  <c r="C22" i="12"/>
  <c r="C23" i="12"/>
  <c r="C28" i="12"/>
  <c r="C29" i="12"/>
  <c r="C31" i="12"/>
  <c r="C30" i="12"/>
  <c r="C32" i="12"/>
  <c r="C33" i="12"/>
  <c r="C34" i="12"/>
  <c r="C35" i="12"/>
  <c r="C36" i="12"/>
  <c r="C38" i="12"/>
  <c r="C44" i="12"/>
  <c r="C46" i="12"/>
  <c r="C47" i="12"/>
  <c r="C48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70" i="12"/>
  <c r="C72" i="12"/>
  <c r="C71" i="12"/>
  <c r="C74" i="12"/>
  <c r="C73" i="12"/>
  <c r="C75" i="12"/>
  <c r="C76" i="12"/>
  <c r="C77" i="12"/>
  <c r="C81" i="12"/>
  <c r="C86" i="12"/>
  <c r="C85" i="12"/>
  <c r="C84" i="12"/>
  <c r="C83" i="12"/>
  <c r="C82" i="12"/>
  <c r="C87" i="12"/>
  <c r="C88" i="12"/>
  <c r="C130" i="12"/>
  <c r="A131" i="12"/>
  <c r="C131" i="12"/>
  <c r="C135" i="12"/>
  <c r="A140" i="12"/>
  <c r="C142" i="12"/>
  <c r="A142" i="12"/>
  <c r="C140" i="12"/>
  <c r="C141" i="12"/>
  <c r="A141" i="12"/>
  <c r="C143" i="12"/>
  <c r="A143" i="12"/>
  <c r="C144" i="12"/>
  <c r="A144" i="12"/>
  <c r="C145" i="12"/>
  <c r="A145" i="12"/>
  <c r="C146" i="12"/>
  <c r="A146" i="12"/>
  <c r="C147" i="12"/>
  <c r="A147" i="12"/>
  <c r="C149" i="12"/>
  <c r="A149" i="12"/>
  <c r="C148" i="12"/>
  <c r="A148" i="12"/>
  <c r="C153" i="12"/>
  <c r="C152" i="12"/>
  <c r="C151" i="12"/>
  <c r="C150" i="12"/>
  <c r="A153" i="12"/>
  <c r="A152" i="12"/>
  <c r="A151" i="12"/>
  <c r="A150" i="12"/>
  <c r="A155" i="12"/>
  <c r="A154" i="12"/>
  <c r="C156" i="12"/>
  <c r="A156" i="12"/>
  <c r="C157" i="12"/>
  <c r="A157" i="12"/>
  <c r="C158" i="12"/>
  <c r="A158" i="12"/>
  <c r="C159" i="12"/>
  <c r="A159" i="12"/>
  <c r="C165" i="12"/>
  <c r="C164" i="12"/>
  <c r="C162" i="12"/>
  <c r="C163" i="12"/>
  <c r="A165" i="12"/>
  <c r="A164" i="12"/>
  <c r="A162" i="12"/>
  <c r="A163" i="12"/>
  <c r="C166" i="12"/>
  <c r="A166" i="12"/>
  <c r="C167" i="12"/>
  <c r="A167" i="12"/>
  <c r="C169" i="12"/>
  <c r="C168" i="12"/>
  <c r="A169" i="12"/>
  <c r="A168" i="12"/>
  <c r="C170" i="12"/>
  <c r="A170" i="12"/>
  <c r="C172" i="12"/>
  <c r="C171" i="12"/>
  <c r="A172" i="12"/>
  <c r="A171" i="12"/>
  <c r="C176" i="12"/>
  <c r="C175" i="12"/>
  <c r="A176" i="12"/>
  <c r="A175" i="12"/>
  <c r="C177" i="12"/>
  <c r="A177" i="12"/>
  <c r="C178" i="12"/>
  <c r="A178" i="12"/>
  <c r="C179" i="12"/>
  <c r="A179" i="12"/>
  <c r="C181" i="12"/>
  <c r="C180" i="12"/>
  <c r="A181" i="12"/>
  <c r="A180" i="12"/>
  <c r="C183" i="12"/>
  <c r="A183" i="12"/>
  <c r="C184" i="12"/>
  <c r="A184" i="12"/>
  <c r="C186" i="12"/>
  <c r="A186" i="12"/>
  <c r="C188" i="12"/>
  <c r="A188" i="12"/>
  <c r="C189" i="12"/>
  <c r="A189" i="12"/>
  <c r="C190" i="12"/>
  <c r="A190" i="12"/>
  <c r="C191" i="12"/>
  <c r="A191" i="12"/>
  <c r="C192" i="12"/>
  <c r="A192" i="12"/>
  <c r="C197" i="12"/>
  <c r="A197" i="12"/>
  <c r="C198" i="12"/>
  <c r="A198" i="12"/>
  <c r="C199" i="12"/>
  <c r="A199" i="12"/>
  <c r="C200" i="12"/>
  <c r="A200" i="12"/>
  <c r="C201" i="12"/>
  <c r="A201" i="12"/>
  <c r="C202" i="12"/>
  <c r="A202" i="12"/>
  <c r="C211" i="12"/>
  <c r="A211" i="12"/>
  <c r="C212" i="12"/>
  <c r="A212" i="12"/>
  <c r="C213" i="12"/>
  <c r="A213" i="12"/>
  <c r="C220" i="12"/>
  <c r="A220" i="12"/>
  <c r="C221" i="12"/>
  <c r="A221" i="12"/>
  <c r="C222" i="12"/>
  <c r="A222" i="12"/>
  <c r="C223" i="12"/>
  <c r="A223" i="12"/>
  <c r="C227" i="12"/>
  <c r="C226" i="12"/>
  <c r="A227" i="12"/>
  <c r="A226" i="12"/>
  <c r="C228" i="12"/>
  <c r="A228" i="12"/>
  <c r="C229" i="12"/>
  <c r="A229" i="12"/>
  <c r="C230" i="12"/>
  <c r="A230" i="12"/>
  <c r="C231" i="12"/>
  <c r="A231" i="12"/>
  <c r="C232" i="12"/>
  <c r="A232" i="12"/>
  <c r="A233" i="12"/>
  <c r="C233" i="12"/>
  <c r="C234" i="12"/>
  <c r="A234" i="12"/>
  <c r="C235" i="12"/>
  <c r="A235" i="12"/>
  <c r="C240" i="12"/>
  <c r="C239" i="12"/>
  <c r="C238" i="12"/>
  <c r="A240" i="12"/>
  <c r="A239" i="12"/>
  <c r="A238" i="12"/>
  <c r="C241" i="12"/>
  <c r="A241" i="12"/>
  <c r="C242" i="12"/>
  <c r="A242" i="12"/>
  <c r="C250" i="12"/>
  <c r="C249" i="12"/>
  <c r="C248" i="12"/>
  <c r="A250" i="12"/>
  <c r="A249" i="12"/>
  <c r="A248" i="12"/>
  <c r="C251" i="12"/>
  <c r="A251" i="12"/>
  <c r="C265" i="12"/>
  <c r="C264" i="12"/>
  <c r="C263" i="12"/>
  <c r="C262" i="12"/>
  <c r="C261" i="12"/>
  <c r="C260" i="12"/>
  <c r="C259" i="12"/>
  <c r="C258" i="12"/>
  <c r="C271" i="12"/>
  <c r="C270" i="12"/>
  <c r="C269" i="12"/>
  <c r="C268" i="12"/>
  <c r="C267" i="12"/>
  <c r="C266" i="12"/>
  <c r="A271" i="12"/>
  <c r="A270" i="12"/>
  <c r="A269" i="12"/>
  <c r="A268" i="12"/>
  <c r="A267" i="12"/>
  <c r="A266" i="12"/>
  <c r="C272" i="12"/>
  <c r="A272" i="12"/>
  <c r="A273" i="12"/>
  <c r="C273" i="12"/>
  <c r="C274" i="12"/>
  <c r="A274" i="12"/>
  <c r="C275" i="12"/>
  <c r="A275" i="12"/>
  <c r="C276" i="12"/>
  <c r="A276" i="12"/>
  <c r="C279" i="12"/>
  <c r="C278" i="12"/>
  <c r="C277" i="12"/>
  <c r="A279" i="12"/>
  <c r="A278" i="12"/>
  <c r="A277" i="12"/>
  <c r="C280" i="12"/>
  <c r="A280" i="12"/>
  <c r="C281" i="12"/>
  <c r="A281" i="12"/>
  <c r="C285" i="12"/>
  <c r="C284" i="12"/>
  <c r="C283" i="12"/>
  <c r="C282" i="12"/>
  <c r="A285" i="12"/>
  <c r="A284" i="12"/>
  <c r="A283" i="12"/>
  <c r="A282" i="12"/>
  <c r="C286" i="12"/>
  <c r="A286" i="12"/>
  <c r="C290" i="12"/>
  <c r="C289" i="12"/>
  <c r="C288" i="12"/>
  <c r="C287" i="12"/>
  <c r="A290" i="12"/>
  <c r="A289" i="12"/>
  <c r="A288" i="12"/>
  <c r="A287" i="12"/>
  <c r="C291" i="12"/>
  <c r="A291" i="12"/>
  <c r="C292" i="12"/>
  <c r="A292" i="12"/>
  <c r="C294" i="12"/>
  <c r="C293" i="12"/>
  <c r="A294" i="12"/>
  <c r="A293" i="12"/>
  <c r="C295" i="12"/>
  <c r="A295" i="12"/>
  <c r="A296" i="12"/>
  <c r="A297" i="12"/>
  <c r="C297" i="12"/>
  <c r="C296" i="12"/>
  <c r="C298" i="12"/>
  <c r="A298" i="12"/>
  <c r="C299" i="12"/>
  <c r="A299" i="12"/>
  <c r="A300" i="12"/>
  <c r="C300" i="12"/>
  <c r="C303" i="12"/>
  <c r="C302" i="12"/>
  <c r="C301" i="12"/>
  <c r="A303" i="12"/>
  <c r="A302" i="12"/>
  <c r="A301" i="12"/>
  <c r="C305" i="12"/>
  <c r="A305" i="12"/>
  <c r="C306" i="12"/>
  <c r="A306" i="12"/>
  <c r="C307" i="12"/>
  <c r="C315" i="12"/>
  <c r="C314" i="12"/>
  <c r="C313" i="12"/>
  <c r="C312" i="12"/>
  <c r="C311" i="12"/>
  <c r="C310" i="12"/>
  <c r="C309" i="12"/>
  <c r="C308" i="12"/>
  <c r="C322" i="12"/>
  <c r="C321" i="12"/>
  <c r="C320" i="12"/>
  <c r="C319" i="12"/>
  <c r="C318" i="12"/>
  <c r="C317" i="12"/>
  <c r="C316" i="12"/>
  <c r="C323" i="12"/>
  <c r="A323" i="12"/>
  <c r="C324" i="12"/>
  <c r="A324" i="12"/>
  <c r="C325" i="12"/>
  <c r="A325" i="12"/>
  <c r="C326" i="12"/>
  <c r="A326" i="12"/>
  <c r="C329" i="12"/>
  <c r="C328" i="12"/>
  <c r="A329" i="12"/>
  <c r="A328" i="12"/>
  <c r="C331" i="12"/>
  <c r="C330" i="12"/>
  <c r="A331" i="12"/>
  <c r="A330" i="12"/>
  <c r="C332" i="12"/>
  <c r="A332" i="12"/>
  <c r="C333" i="12"/>
  <c r="A333" i="12"/>
  <c r="C339" i="12"/>
  <c r="A339" i="12"/>
  <c r="C340" i="12"/>
  <c r="A340" i="12"/>
  <c r="C341" i="12"/>
  <c r="A341" i="12"/>
  <c r="C342" i="12"/>
  <c r="A342" i="12"/>
  <c r="C343" i="12"/>
  <c r="A343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66" i="12"/>
  <c r="C365" i="12"/>
  <c r="C364" i="12"/>
  <c r="C363" i="12"/>
  <c r="C362" i="12"/>
  <c r="C361" i="12"/>
  <c r="C360" i="12"/>
  <c r="C359" i="12"/>
  <c r="C358" i="12"/>
  <c r="C357" i="12"/>
  <c r="C356" i="12"/>
  <c r="C355" i="12"/>
  <c r="C354" i="12"/>
  <c r="C353" i="12"/>
  <c r="C352" i="12"/>
  <c r="C351" i="12"/>
  <c r="C350" i="12"/>
  <c r="C349" i="12"/>
  <c r="C348" i="12"/>
  <c r="C347" i="12"/>
  <c r="C346" i="12"/>
  <c r="C345" i="12"/>
  <c r="C344" i="12"/>
  <c r="C381" i="12"/>
  <c r="A381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416" i="12"/>
  <c r="C415" i="12"/>
  <c r="C414" i="12"/>
  <c r="C413" i="12"/>
  <c r="A416" i="12"/>
  <c r="A415" i="12"/>
  <c r="A414" i="12"/>
  <c r="A413" i="12"/>
  <c r="C417" i="12"/>
  <c r="A417" i="12"/>
  <c r="C418" i="12"/>
  <c r="A418" i="12"/>
  <c r="C419" i="12"/>
  <c r="A419" i="12"/>
  <c r="C422" i="12"/>
  <c r="A422" i="12"/>
  <c r="C423" i="12"/>
  <c r="A423" i="12"/>
  <c r="C424" i="12"/>
  <c r="A424" i="12"/>
  <c r="C425" i="12"/>
  <c r="A425" i="12"/>
  <c r="C426" i="12"/>
  <c r="A426" i="12"/>
  <c r="C428" i="12"/>
  <c r="C433" i="12"/>
  <c r="C432" i="12"/>
  <c r="C431" i="12"/>
  <c r="C430" i="12"/>
  <c r="C429" i="12"/>
  <c r="A433" i="12"/>
  <c r="A432" i="12"/>
  <c r="A431" i="12"/>
  <c r="A430" i="12"/>
  <c r="A429" i="12"/>
  <c r="A428" i="12"/>
  <c r="C436" i="12"/>
  <c r="A436" i="12"/>
  <c r="C437" i="12"/>
  <c r="C435" i="12"/>
  <c r="A437" i="12"/>
  <c r="A435" i="12"/>
  <c r="C438" i="12"/>
  <c r="A438" i="12"/>
  <c r="C443" i="12"/>
  <c r="C442" i="12"/>
  <c r="A443" i="12"/>
  <c r="A442" i="12"/>
  <c r="C445" i="12"/>
  <c r="A445" i="12"/>
  <c r="C446" i="12"/>
  <c r="A446" i="12"/>
  <c r="C447" i="12"/>
  <c r="A447" i="12"/>
  <c r="A454" i="12"/>
  <c r="A453" i="12"/>
  <c r="A452" i="12"/>
  <c r="A451" i="12"/>
  <c r="A450" i="12"/>
  <c r="A449" i="12"/>
  <c r="C455" i="12" l="1"/>
  <c r="A455" i="12"/>
  <c r="C457" i="12"/>
  <c r="C456" i="12"/>
  <c r="A457" i="12"/>
  <c r="A456" i="12"/>
  <c r="C483" i="12"/>
  <c r="C482" i="12"/>
  <c r="C481" i="12"/>
  <c r="C480" i="12"/>
  <c r="A483" i="12"/>
  <c r="A482" i="12"/>
  <c r="A481" i="12"/>
  <c r="A480" i="12"/>
  <c r="C484" i="12"/>
  <c r="A484" i="12"/>
  <c r="C485" i="12"/>
  <c r="A485" i="12"/>
  <c r="C486" i="12"/>
  <c r="A486" i="12"/>
  <c r="C488" i="12"/>
  <c r="A488" i="12"/>
  <c r="C490" i="12"/>
  <c r="A490" i="12"/>
  <c r="C491" i="12"/>
  <c r="A491" i="12"/>
  <c r="C492" i="12"/>
  <c r="C493" i="12"/>
  <c r="A493" i="12"/>
  <c r="A492" i="12"/>
  <c r="C505" i="12"/>
  <c r="C504" i="12"/>
  <c r="C503" i="12"/>
  <c r="C502" i="12"/>
  <c r="C501" i="12"/>
  <c r="C500" i="12"/>
  <c r="C499" i="12"/>
  <c r="C498" i="12"/>
  <c r="A505" i="12"/>
  <c r="A504" i="12"/>
  <c r="A503" i="12"/>
  <c r="A502" i="12"/>
  <c r="A501" i="12"/>
  <c r="A500" i="12"/>
  <c r="A499" i="12"/>
  <c r="A498" i="12"/>
  <c r="C506" i="12"/>
  <c r="A506" i="12"/>
  <c r="C507" i="12"/>
  <c r="A507" i="12"/>
  <c r="C508" i="12"/>
  <c r="A508" i="12"/>
  <c r="C509" i="12"/>
  <c r="A509" i="12"/>
  <c r="C511" i="12"/>
  <c r="A511" i="12"/>
  <c r="C512" i="12"/>
  <c r="A512" i="12"/>
  <c r="C515" i="12"/>
  <c r="C514" i="12"/>
  <c r="C513" i="12"/>
  <c r="A515" i="12"/>
  <c r="A514" i="12"/>
  <c r="A513" i="12"/>
  <c r="C518" i="12"/>
  <c r="C517" i="12"/>
  <c r="C516" i="12"/>
  <c r="A518" i="12"/>
  <c r="A517" i="12"/>
  <c r="A516" i="12"/>
  <c r="C519" i="12"/>
  <c r="A519" i="12"/>
  <c r="C520" i="12"/>
  <c r="A520" i="12"/>
  <c r="C521" i="12"/>
  <c r="A521" i="12"/>
  <c r="C522" i="12"/>
  <c r="A522" i="12"/>
  <c r="C524" i="12"/>
  <c r="C525" i="12"/>
  <c r="C523" i="12"/>
  <c r="A524" i="12"/>
  <c r="A525" i="12"/>
  <c r="A523" i="12"/>
  <c r="C527" i="12"/>
  <c r="C526" i="12"/>
  <c r="A527" i="12"/>
  <c r="A526" i="12"/>
  <c r="C562" i="12"/>
  <c r="A562" i="12"/>
  <c r="C563" i="12"/>
  <c r="A563" i="12"/>
  <c r="C571" i="12"/>
  <c r="A571" i="12"/>
  <c r="C572" i="12"/>
  <c r="A572" i="12"/>
  <c r="C570" i="12"/>
  <c r="A570" i="12"/>
  <c r="C569" i="12"/>
  <c r="A569" i="12"/>
  <c r="C568" i="12"/>
  <c r="A568" i="12"/>
  <c r="C567" i="12"/>
  <c r="A567" i="12"/>
  <c r="C566" i="12"/>
  <c r="A566" i="12"/>
  <c r="A576" i="12"/>
  <c r="A575" i="12"/>
  <c r="C581" i="12"/>
  <c r="A581" i="12"/>
  <c r="C580" i="12"/>
  <c r="A580" i="12"/>
  <c r="C576" i="12"/>
  <c r="C575" i="12"/>
  <c r="C4" i="11"/>
  <c r="A4" i="11"/>
  <c r="C6" i="11"/>
  <c r="A6" i="11"/>
  <c r="C7" i="11"/>
  <c r="A7" i="11"/>
  <c r="C11" i="11"/>
  <c r="C10" i="11"/>
  <c r="C9" i="11"/>
  <c r="C8" i="11"/>
  <c r="A11" i="11"/>
  <c r="A10" i="11"/>
  <c r="A9" i="11"/>
  <c r="A8" i="11"/>
  <c r="C12" i="11"/>
  <c r="A12" i="11"/>
  <c r="C19" i="11"/>
  <c r="A19" i="11"/>
  <c r="C20" i="11"/>
  <c r="A20" i="11"/>
  <c r="C21" i="11"/>
  <c r="A21" i="11"/>
  <c r="C28" i="11"/>
  <c r="A28" i="11"/>
  <c r="C29" i="11"/>
  <c r="A29" i="11"/>
  <c r="C30" i="11"/>
  <c r="A30" i="11"/>
  <c r="C35" i="11"/>
  <c r="A35" i="11"/>
  <c r="C36" i="11"/>
  <c r="A36" i="11"/>
  <c r="C37" i="11"/>
  <c r="A37" i="11"/>
  <c r="C38" i="11"/>
  <c r="A38" i="11"/>
  <c r="C39" i="11"/>
  <c r="A39" i="11"/>
  <c r="C42" i="11"/>
  <c r="C41" i="11"/>
  <c r="A42" i="11"/>
  <c r="A41" i="11"/>
  <c r="C44" i="11"/>
  <c r="C43" i="11"/>
  <c r="A44" i="11"/>
  <c r="A43" i="11"/>
  <c r="C45" i="11"/>
  <c r="A45" i="11"/>
  <c r="A46" i="11"/>
  <c r="C46" i="11"/>
  <c r="C48" i="11"/>
  <c r="C47" i="11"/>
  <c r="A48" i="11"/>
  <c r="A47" i="11"/>
  <c r="C49" i="11"/>
  <c r="A49" i="11"/>
  <c r="C56" i="11"/>
  <c r="C55" i="11"/>
  <c r="A56" i="11"/>
  <c r="A55" i="11"/>
  <c r="C58" i="11"/>
  <c r="C57" i="11"/>
  <c r="A58" i="11"/>
  <c r="A57" i="11"/>
  <c r="C60" i="11"/>
  <c r="A60" i="11"/>
  <c r="C61" i="11"/>
  <c r="A61" i="11"/>
  <c r="C64" i="11"/>
  <c r="C63" i="11"/>
  <c r="A64" i="11"/>
  <c r="A63" i="11"/>
  <c r="C65" i="11"/>
  <c r="A65" i="11"/>
  <c r="C66" i="11"/>
  <c r="A66" i="11"/>
  <c r="C70" i="11"/>
  <c r="C69" i="11"/>
  <c r="A70" i="11"/>
  <c r="A69" i="11"/>
  <c r="C72" i="11"/>
  <c r="A72" i="11"/>
  <c r="C74" i="11"/>
  <c r="A74" i="11"/>
  <c r="C75" i="11"/>
  <c r="A75" i="11"/>
  <c r="C79" i="11"/>
  <c r="C78" i="11"/>
  <c r="A79" i="11"/>
  <c r="A78" i="11"/>
  <c r="C81" i="11"/>
  <c r="A81" i="11"/>
  <c r="C82" i="11"/>
  <c r="A82" i="11"/>
  <c r="C85" i="11"/>
  <c r="A85" i="11"/>
  <c r="C87" i="11"/>
  <c r="C86" i="11"/>
  <c r="A87" i="11"/>
  <c r="A86" i="11"/>
  <c r="C88" i="11"/>
  <c r="A88" i="11"/>
  <c r="C89" i="11"/>
  <c r="A89" i="11"/>
  <c r="C90" i="11"/>
  <c r="A90" i="11"/>
  <c r="C93" i="11"/>
  <c r="A93" i="11"/>
  <c r="C100" i="11"/>
  <c r="C99" i="11"/>
  <c r="A100" i="11"/>
  <c r="A99" i="11"/>
  <c r="C98" i="11"/>
  <c r="C97" i="11"/>
  <c r="C96" i="11"/>
  <c r="C95" i="11"/>
  <c r="C94" i="11"/>
  <c r="A98" i="11"/>
  <c r="A97" i="11"/>
  <c r="A96" i="11"/>
  <c r="A95" i="11"/>
  <c r="A94" i="11"/>
  <c r="C102" i="11"/>
  <c r="C101" i="11"/>
  <c r="A102" i="11"/>
  <c r="A101" i="11"/>
  <c r="C103" i="11"/>
  <c r="A103" i="11"/>
  <c r="C104" i="11"/>
  <c r="A104" i="11"/>
  <c r="C109" i="11"/>
  <c r="A109" i="11"/>
  <c r="C110" i="11"/>
  <c r="A110" i="11"/>
  <c r="C111" i="11"/>
  <c r="A111" i="11"/>
  <c r="C114" i="11"/>
  <c r="A114" i="11"/>
  <c r="C113" i="11"/>
  <c r="A113" i="11"/>
  <c r="C116" i="11"/>
  <c r="C115" i="11"/>
  <c r="A116" i="11"/>
  <c r="A115" i="11"/>
  <c r="C117" i="11"/>
  <c r="A117" i="11"/>
  <c r="C120" i="11"/>
  <c r="C119" i="11"/>
  <c r="C118" i="11"/>
  <c r="A120" i="11"/>
  <c r="A119" i="11"/>
  <c r="A118" i="11"/>
  <c r="C124" i="11"/>
  <c r="C123" i="11"/>
  <c r="C122" i="11"/>
  <c r="A124" i="11"/>
  <c r="A123" i="11"/>
  <c r="A122" i="11"/>
  <c r="C125" i="11"/>
  <c r="A125" i="11"/>
  <c r="C128" i="11"/>
  <c r="C127" i="11"/>
  <c r="A128" i="11"/>
  <c r="A127" i="11"/>
  <c r="C129" i="11"/>
  <c r="A129" i="11"/>
  <c r="C130" i="11"/>
  <c r="A130" i="11"/>
  <c r="C131" i="11"/>
  <c r="A131" i="11"/>
  <c r="C132" i="11"/>
  <c r="A132" i="11"/>
  <c r="C142" i="11"/>
  <c r="A142" i="11"/>
  <c r="C143" i="11"/>
  <c r="A143" i="11"/>
  <c r="C144" i="11"/>
  <c r="A144" i="11"/>
  <c r="C145" i="11"/>
  <c r="A145" i="11"/>
  <c r="C147" i="11"/>
  <c r="A147" i="11"/>
  <c r="C148" i="11"/>
  <c r="A148" i="11"/>
  <c r="C153" i="11"/>
  <c r="A153" i="11"/>
  <c r="C154" i="11"/>
  <c r="A154" i="11"/>
  <c r="C157" i="11"/>
  <c r="C156" i="11"/>
  <c r="C155" i="11"/>
  <c r="A157" i="11"/>
  <c r="A156" i="11"/>
  <c r="A155" i="11"/>
  <c r="C159" i="11"/>
  <c r="C158" i="11"/>
  <c r="A159" i="11"/>
  <c r="A158" i="11"/>
  <c r="C160" i="11"/>
  <c r="A160" i="11"/>
  <c r="C162" i="11"/>
  <c r="A162" i="11"/>
  <c r="C169" i="11"/>
  <c r="A169" i="11"/>
  <c r="C170" i="11" l="1"/>
  <c r="A170" i="11"/>
  <c r="A179" i="11" l="1"/>
  <c r="C179" i="11"/>
  <c r="A180" i="11"/>
  <c r="C180" i="11"/>
  <c r="C177" i="11" l="1"/>
  <c r="A177" i="11"/>
  <c r="C178" i="11" l="1"/>
  <c r="A178" i="11"/>
  <c r="C187" i="11" l="1"/>
  <c r="A187" i="11"/>
  <c r="A188" i="11" l="1"/>
  <c r="C189" i="11" l="1"/>
  <c r="A189" i="11"/>
  <c r="C207" i="11" l="1"/>
  <c r="A207" i="11"/>
  <c r="C217" i="11" l="1"/>
  <c r="A217" i="11"/>
  <c r="C218" i="11" l="1"/>
  <c r="A218" i="11"/>
  <c r="C219" i="11" l="1"/>
  <c r="A219" i="11"/>
  <c r="C220" i="11" l="1"/>
  <c r="A220" i="11"/>
  <c r="C221" i="11"/>
  <c r="A221" i="11"/>
  <c r="C222" i="11" l="1"/>
  <c r="A222" i="11"/>
  <c r="A223" i="11"/>
  <c r="C223" i="11" l="1"/>
  <c r="C224" i="11" l="1"/>
  <c r="A224" i="11"/>
  <c r="C225" i="11" l="1"/>
  <c r="A225" i="11"/>
  <c r="C226" i="11"/>
  <c r="A226" i="11"/>
  <c r="C227" i="11"/>
  <c r="C228" i="11"/>
  <c r="C239" i="11" l="1"/>
  <c r="C238" i="11"/>
  <c r="C236" i="11"/>
  <c r="A236" i="11"/>
  <c r="C235" i="11"/>
  <c r="C234" i="11"/>
  <c r="A235" i="11"/>
  <c r="A234" i="11"/>
  <c r="C237" i="11"/>
  <c r="A237" i="11"/>
  <c r="A238" i="11" l="1"/>
  <c r="A239" i="11"/>
  <c r="C240" i="11"/>
  <c r="A240" i="11"/>
  <c r="C241" i="11"/>
  <c r="A241" i="11"/>
  <c r="C242" i="11" l="1"/>
  <c r="A242" i="11"/>
  <c r="C243" i="11" l="1"/>
  <c r="A243" i="11"/>
  <c r="C248" i="11" l="1"/>
  <c r="A248" i="11"/>
  <c r="C249" i="11" l="1"/>
  <c r="A249" i="11"/>
  <c r="C250" i="11" l="1"/>
  <c r="A250" i="11"/>
  <c r="C251" i="11" l="1"/>
  <c r="A251" i="11"/>
  <c r="C252" i="11" l="1"/>
  <c r="A252" i="11"/>
  <c r="A254" i="11" l="1"/>
  <c r="C255" i="11"/>
  <c r="A255" i="11"/>
  <c r="C254" i="11" l="1"/>
  <c r="C256" i="11" l="1"/>
  <c r="A256" i="11"/>
  <c r="C257" i="11" l="1"/>
  <c r="A257" i="11"/>
  <c r="C260" i="11" l="1"/>
  <c r="A260" i="11"/>
  <c r="C261" i="11" l="1"/>
  <c r="A261" i="11"/>
  <c r="C267" i="11" l="1"/>
  <c r="A267" i="11"/>
  <c r="C269" i="11" l="1"/>
  <c r="C268" i="11"/>
  <c r="A269" i="11"/>
  <c r="A268" i="11"/>
  <c r="C270" i="11" l="1"/>
  <c r="A270" i="11"/>
  <c r="C271" i="11" l="1"/>
  <c r="A271" i="11"/>
  <c r="C279" i="11" l="1"/>
  <c r="A279" i="11"/>
  <c r="C280" i="11" l="1"/>
  <c r="A280" i="11"/>
  <c r="C289" i="11" l="1"/>
  <c r="A289" i="11"/>
  <c r="C290" i="11" l="1"/>
  <c r="A290" i="11"/>
  <c r="C291" i="11" l="1"/>
  <c r="A291" i="11"/>
  <c r="C295" i="11" l="1"/>
  <c r="A295" i="11"/>
  <c r="C296" i="11" l="1"/>
  <c r="A296" i="11"/>
  <c r="C297" i="11" l="1"/>
  <c r="A297" i="11"/>
  <c r="C298" i="11" l="1"/>
  <c r="A298" i="11"/>
  <c r="C299" i="11" l="1"/>
  <c r="A299" i="11"/>
  <c r="C301" i="11" l="1"/>
  <c r="C300" i="11"/>
  <c r="A301" i="11"/>
  <c r="A300" i="11"/>
  <c r="C302" i="11" l="1"/>
  <c r="A302" i="11"/>
  <c r="C305" i="11" l="1"/>
  <c r="C304" i="11"/>
  <c r="C303" i="11"/>
  <c r="A305" i="11"/>
  <c r="A304" i="11"/>
  <c r="A303" i="11"/>
  <c r="C306" i="11"/>
  <c r="A306" i="11"/>
  <c r="C308" i="11"/>
  <c r="A308" i="11"/>
  <c r="C315" i="11" l="1"/>
  <c r="A315" i="11"/>
  <c r="A318" i="11" l="1"/>
  <c r="C318" i="11"/>
  <c r="A319" i="11" l="1"/>
  <c r="C319" i="11"/>
  <c r="A320" i="11"/>
  <c r="C320" i="11"/>
  <c r="C332" i="11" l="1"/>
  <c r="A332" i="11"/>
  <c r="C333" i="11" l="1"/>
  <c r="A333" i="11"/>
  <c r="C335" i="11" l="1"/>
  <c r="A335" i="11"/>
  <c r="C334" i="11"/>
  <c r="A334" i="11"/>
  <c r="C336" i="11"/>
  <c r="A336" i="11"/>
  <c r="C337" i="11" l="1"/>
  <c r="A337" i="11"/>
  <c r="C342" i="11" l="1"/>
  <c r="A342" i="11"/>
  <c r="C343" i="11" l="1"/>
  <c r="A343" i="11"/>
  <c r="C349" i="11" l="1"/>
  <c r="A349" i="11"/>
  <c r="C350" i="11" l="1"/>
  <c r="A350" i="11"/>
  <c r="C351" i="11" l="1"/>
  <c r="A351" i="11"/>
  <c r="C352" i="11" l="1"/>
  <c r="A352" i="11"/>
  <c r="C354" i="11" l="1"/>
  <c r="A354" i="11"/>
  <c r="C355" i="11" l="1"/>
  <c r="A355" i="11"/>
  <c r="C356" i="11" l="1"/>
  <c r="A356" i="11"/>
  <c r="C357" i="11" l="1"/>
  <c r="A357" i="11"/>
  <c r="C358" i="11" l="1"/>
  <c r="A358" i="11"/>
  <c r="C359" i="11" l="1"/>
  <c r="A359" i="11"/>
  <c r="C360" i="11" l="1"/>
  <c r="A360" i="11"/>
  <c r="C361" i="11" l="1"/>
  <c r="A361" i="11"/>
  <c r="C368" i="11" l="1"/>
  <c r="A368" i="11"/>
  <c r="C369" i="11" l="1"/>
  <c r="A369" i="11"/>
  <c r="C373" i="11" l="1"/>
  <c r="C372" i="11"/>
  <c r="C375" i="11"/>
  <c r="C374" i="11"/>
  <c r="A373" i="11"/>
  <c r="A372" i="11"/>
  <c r="A375" i="11"/>
  <c r="A374" i="11"/>
  <c r="A376" i="11" l="1"/>
  <c r="C376" i="11"/>
  <c r="C379" i="11" l="1"/>
  <c r="A379" i="11"/>
  <c r="C380" i="11"/>
  <c r="C384" i="11" l="1"/>
  <c r="C383" i="11"/>
  <c r="A384" i="11"/>
  <c r="A383" i="11"/>
  <c r="C387" i="11" l="1"/>
  <c r="A387" i="11"/>
  <c r="C393" i="11" l="1"/>
  <c r="A393" i="11"/>
  <c r="C394" i="11" l="1"/>
  <c r="A394" i="11"/>
  <c r="C464" i="11" l="1"/>
  <c r="A464" i="11"/>
  <c r="C407" i="11" l="1"/>
  <c r="A407" i="11"/>
  <c r="A450" i="11"/>
  <c r="C409" i="11" l="1"/>
  <c r="A409" i="11"/>
  <c r="C413" i="11" l="1"/>
  <c r="C412" i="11"/>
  <c r="A413" i="11"/>
  <c r="A412" i="11"/>
  <c r="C411" i="11"/>
  <c r="C410" i="11"/>
  <c r="A411" i="11"/>
  <c r="A410" i="11"/>
  <c r="C418" i="11"/>
  <c r="C417" i="11"/>
  <c r="C416" i="11"/>
  <c r="C415" i="11"/>
  <c r="C414" i="11"/>
  <c r="A418" i="11"/>
  <c r="A417" i="11"/>
  <c r="A416" i="11"/>
  <c r="A415" i="11"/>
  <c r="A414" i="11"/>
  <c r="C420" i="11"/>
  <c r="C419" i="11"/>
  <c r="A420" i="11"/>
  <c r="A419" i="11"/>
  <c r="C421" i="11" l="1"/>
  <c r="A421" i="11"/>
  <c r="C429" i="11"/>
  <c r="C428" i="11"/>
  <c r="A429" i="11"/>
  <c r="A428" i="11"/>
  <c r="C431" i="11"/>
  <c r="C430" i="11"/>
  <c r="A431" i="11"/>
  <c r="A430" i="11"/>
  <c r="C441" i="11" l="1"/>
  <c r="A441" i="11"/>
  <c r="C449" i="11" l="1"/>
  <c r="A449" i="11"/>
  <c r="C450" i="11" l="1"/>
  <c r="C451" i="11" l="1"/>
  <c r="A451" i="11"/>
  <c r="A455" i="11" l="1"/>
  <c r="A454" i="11"/>
  <c r="A453" i="11"/>
  <c r="C453" i="11" l="1"/>
  <c r="C454" i="11"/>
  <c r="C455" i="11" l="1"/>
  <c r="C6" i="10" l="1"/>
  <c r="A6" i="10"/>
  <c r="C7" i="10" l="1"/>
  <c r="A7" i="10"/>
  <c r="C8" i="10" l="1"/>
  <c r="A8" i="10"/>
  <c r="C9" i="10" l="1"/>
  <c r="A9" i="10"/>
  <c r="C14" i="10" l="1"/>
  <c r="A14" i="10"/>
  <c r="C22" i="10" l="1"/>
  <c r="A22" i="10"/>
  <c r="C23" i="10" l="1"/>
  <c r="A23" i="10"/>
  <c r="A24" i="10" l="1"/>
  <c r="C28" i="10" l="1"/>
  <c r="A28" i="10"/>
  <c r="C31" i="10" l="1"/>
  <c r="A31" i="10"/>
  <c r="C33" i="10"/>
  <c r="C32" i="10"/>
  <c r="A33" i="10" l="1"/>
  <c r="A32" i="10"/>
  <c r="C36" i="10" l="1"/>
  <c r="C44" i="10" l="1"/>
  <c r="A44" i="10"/>
  <c r="C46" i="10" l="1"/>
  <c r="A46" i="10"/>
  <c r="C52" i="10" l="1"/>
  <c r="C51" i="10"/>
  <c r="A52" i="10"/>
  <c r="A51" i="10"/>
  <c r="C53" i="10"/>
  <c r="A53" i="10"/>
  <c r="C54" i="10"/>
  <c r="A54" i="10"/>
  <c r="C55" i="10"/>
  <c r="A55" i="10"/>
  <c r="C59" i="10" l="1"/>
  <c r="A59" i="10"/>
  <c r="C60" i="10" l="1"/>
  <c r="A60" i="10"/>
  <c r="C62" i="10" l="1"/>
  <c r="A62" i="10"/>
  <c r="C63" i="10" l="1"/>
  <c r="A63" i="10"/>
  <c r="C64" i="10"/>
  <c r="A64" i="10"/>
  <c r="C65" i="10"/>
  <c r="A65" i="10"/>
  <c r="C67" i="10" l="1"/>
  <c r="A67" i="10"/>
  <c r="C68" i="10" l="1"/>
  <c r="A68" i="10"/>
  <c r="C79" i="10" l="1"/>
  <c r="A79" i="10"/>
  <c r="C80" i="10" l="1"/>
  <c r="A80" i="10"/>
  <c r="C81" i="10" l="1"/>
  <c r="A81" i="10"/>
  <c r="A89" i="10" l="1"/>
  <c r="C89" i="10" l="1"/>
  <c r="C108" i="10" l="1"/>
  <c r="A108" i="10"/>
  <c r="C109" i="10" l="1"/>
  <c r="A109" i="10"/>
  <c r="C110" i="10" l="1"/>
  <c r="A110" i="10"/>
  <c r="C111" i="10" l="1"/>
  <c r="A111" i="10"/>
  <c r="C114" i="10" l="1"/>
  <c r="A114" i="10"/>
  <c r="C119" i="10" l="1"/>
  <c r="A119" i="10"/>
  <c r="C126" i="10" l="1"/>
  <c r="A126" i="10"/>
  <c r="C125" i="10"/>
  <c r="A125" i="10"/>
  <c r="C127" i="10" l="1"/>
  <c r="A127" i="10"/>
  <c r="C132" i="10" l="1"/>
  <c r="A132" i="10"/>
  <c r="C133" i="10" l="1"/>
  <c r="A133" i="10"/>
  <c r="C134" i="10" l="1"/>
  <c r="A134" i="10"/>
  <c r="C136" i="10" l="1"/>
  <c r="A136" i="10"/>
  <c r="C135" i="10"/>
  <c r="A135" i="10"/>
  <c r="C137" i="10" l="1"/>
  <c r="A137" i="10"/>
  <c r="C138" i="10"/>
  <c r="A138" i="10"/>
  <c r="C139" i="10"/>
  <c r="A139" i="10"/>
  <c r="C148" i="10" l="1"/>
  <c r="A148" i="10"/>
  <c r="C149" i="10" l="1"/>
  <c r="A149" i="10"/>
  <c r="C150" i="10" l="1"/>
  <c r="A150" i="10"/>
  <c r="C151" i="10"/>
  <c r="A151" i="10"/>
  <c r="C152" i="10" l="1"/>
  <c r="A152" i="10"/>
  <c r="C153" i="10" l="1"/>
  <c r="A153" i="10"/>
  <c r="C154" i="10"/>
  <c r="A154" i="10"/>
  <c r="C159" i="10" l="1"/>
  <c r="A159" i="10"/>
  <c r="C160" i="10" l="1"/>
  <c r="A160" i="10"/>
  <c r="C161" i="10" l="1"/>
  <c r="A161" i="10"/>
  <c r="C164" i="10" l="1"/>
  <c r="A164" i="10"/>
  <c r="C166" i="10" l="1"/>
  <c r="A166" i="10"/>
  <c r="C167" i="10" l="1"/>
  <c r="A167" i="10"/>
  <c r="C172" i="10" l="1"/>
  <c r="A172" i="10"/>
  <c r="C178" i="10" l="1"/>
  <c r="C177" i="10"/>
  <c r="C176" i="10"/>
  <c r="C175" i="10"/>
  <c r="A178" i="10"/>
  <c r="A177" i="10"/>
  <c r="A176" i="10"/>
  <c r="A175" i="10"/>
  <c r="C174" i="10"/>
  <c r="A174" i="10"/>
  <c r="C179" i="10" l="1"/>
  <c r="A179" i="10"/>
  <c r="C180" i="10" l="1"/>
  <c r="A180" i="10"/>
  <c r="C182" i="10" l="1"/>
  <c r="A182" i="10"/>
  <c r="C185" i="10" l="1"/>
  <c r="A185" i="10"/>
  <c r="C186" i="10" l="1"/>
  <c r="A186" i="10"/>
  <c r="C187" i="10" l="1"/>
  <c r="A187" i="10"/>
  <c r="C188" i="10" l="1"/>
  <c r="A188" i="10"/>
  <c r="C189" i="10"/>
  <c r="A189" i="10"/>
  <c r="C190" i="10"/>
  <c r="A190" i="10"/>
  <c r="C192" i="10" l="1"/>
  <c r="A192" i="10"/>
  <c r="C193" i="10"/>
  <c r="A193" i="10"/>
  <c r="C194" i="10" l="1"/>
  <c r="A194" i="10"/>
  <c r="C199" i="10" l="1"/>
  <c r="A199" i="10"/>
  <c r="C200" i="10" l="1"/>
  <c r="A200" i="10"/>
  <c r="C201" i="10" l="1"/>
  <c r="A201" i="10"/>
  <c r="C202" i="10" l="1"/>
  <c r="A202" i="10"/>
  <c r="C203" i="10" l="1"/>
  <c r="A203" i="10"/>
  <c r="C208" i="10" l="1"/>
  <c r="A208" i="10"/>
  <c r="C209" i="10" l="1"/>
  <c r="C210" i="10" l="1"/>
  <c r="C211" i="10" l="1"/>
  <c r="C212" i="10" l="1"/>
  <c r="A212" i="10"/>
  <c r="C215" i="10" l="1"/>
  <c r="A215" i="10"/>
  <c r="C216" i="10" l="1"/>
  <c r="A216" i="10"/>
  <c r="C217" i="10" l="1"/>
  <c r="A217" i="10"/>
  <c r="C218" i="10" l="1"/>
  <c r="A218" i="10"/>
  <c r="A221" i="10" l="1"/>
  <c r="C221" i="10" l="1"/>
  <c r="C226" i="10" l="1"/>
  <c r="A226" i="10"/>
  <c r="C227" i="10" l="1"/>
  <c r="A227" i="10"/>
  <c r="C230" i="10" l="1"/>
  <c r="A230" i="10"/>
  <c r="C232" i="10" l="1"/>
  <c r="A232" i="10"/>
  <c r="C233" i="10" l="1"/>
  <c r="A233" i="10"/>
  <c r="C234" i="10" l="1"/>
  <c r="A234" i="10"/>
  <c r="C237" i="10" l="1"/>
  <c r="A237" i="10"/>
  <c r="C235" i="10" l="1"/>
  <c r="A235" i="10"/>
  <c r="C238" i="10"/>
  <c r="A238" i="10"/>
  <c r="C239" i="10"/>
  <c r="A239" i="10"/>
  <c r="C240" i="10"/>
  <c r="A240" i="10"/>
  <c r="C241" i="10"/>
  <c r="A241" i="10"/>
  <c r="C242" i="10"/>
  <c r="A242" i="10"/>
  <c r="C244" i="10" l="1"/>
  <c r="A248" i="10" l="1"/>
  <c r="C248" i="10"/>
  <c r="C249" i="10" l="1"/>
  <c r="A249" i="10"/>
  <c r="C254" i="10" l="1"/>
  <c r="A254" i="10"/>
  <c r="C255" i="10"/>
  <c r="A255" i="10"/>
  <c r="C256" i="10"/>
  <c r="A256" i="10"/>
  <c r="C257" i="10"/>
  <c r="A257" i="10"/>
  <c r="C258" i="10"/>
  <c r="A258" i="10"/>
  <c r="C260" i="10"/>
  <c r="C259" i="10"/>
  <c r="A260" i="10"/>
  <c r="A259" i="10"/>
  <c r="C263" i="10" l="1"/>
  <c r="A263" i="10"/>
  <c r="C265" i="10" l="1"/>
  <c r="A265" i="10"/>
  <c r="C266" i="10" l="1"/>
  <c r="A266" i="10"/>
  <c r="C268" i="10" l="1"/>
  <c r="C267" i="10"/>
  <c r="A268" i="10"/>
  <c r="A267" i="10"/>
  <c r="C270" i="10" l="1"/>
  <c r="C269" i="10"/>
  <c r="C273" i="10" l="1"/>
  <c r="A273" i="10"/>
  <c r="C276" i="10" l="1"/>
  <c r="A276" i="10"/>
  <c r="C278" i="10" l="1"/>
  <c r="A278" i="10"/>
  <c r="C279" i="10" l="1"/>
  <c r="A279" i="10"/>
  <c r="C281" i="10"/>
  <c r="A281" i="10" l="1"/>
  <c r="A282" i="10"/>
  <c r="C282" i="10"/>
  <c r="C283" i="10" l="1"/>
  <c r="A283" i="10"/>
  <c r="C284" i="10"/>
  <c r="A284" i="10"/>
  <c r="C296" i="10" l="1"/>
  <c r="A296" i="10"/>
  <c r="C297" i="10"/>
  <c r="A297" i="10"/>
  <c r="C298" i="10"/>
  <c r="A298" i="10"/>
  <c r="C300" i="10" l="1"/>
  <c r="A300" i="10"/>
  <c r="C301" i="10" l="1"/>
  <c r="A301" i="10"/>
  <c r="C302" i="10" l="1"/>
  <c r="A302" i="10"/>
  <c r="C306" i="10" l="1"/>
  <c r="A306" i="10"/>
  <c r="C309" i="10" l="1"/>
  <c r="A309" i="10"/>
  <c r="C310" i="10" l="1"/>
  <c r="A310" i="10"/>
  <c r="C311" i="10" l="1"/>
  <c r="A311" i="10"/>
  <c r="C312" i="10"/>
  <c r="A312" i="10"/>
  <c r="C313" i="10" l="1"/>
  <c r="A313" i="10"/>
  <c r="C318" i="10" l="1"/>
  <c r="A318" i="10"/>
  <c r="C322" i="10" l="1"/>
  <c r="A322" i="10"/>
  <c r="C323" i="10"/>
  <c r="A323" i="10"/>
  <c r="C326" i="10" l="1"/>
  <c r="A326" i="10"/>
  <c r="C325" i="10"/>
  <c r="A325" i="10"/>
  <c r="C328" i="10" l="1"/>
  <c r="A328" i="10"/>
  <c r="C330" i="10" l="1"/>
  <c r="C329" i="10"/>
  <c r="A336" i="10" l="1"/>
  <c r="C336" i="10"/>
  <c r="C342" i="10" l="1"/>
  <c r="C348" i="10" l="1"/>
  <c r="A348" i="10"/>
  <c r="C349" i="10"/>
  <c r="A349" i="10"/>
  <c r="C351" i="10" l="1"/>
  <c r="A351" i="10"/>
  <c r="C353" i="10" l="1"/>
  <c r="C352" i="10"/>
  <c r="A353" i="10"/>
  <c r="A352" i="10"/>
  <c r="C354" i="10" l="1"/>
  <c r="A354" i="10"/>
  <c r="C355" i="10" l="1"/>
  <c r="A355" i="10"/>
  <c r="C359" i="10" l="1"/>
  <c r="A359" i="10"/>
  <c r="C360" i="10" l="1"/>
  <c r="A360" i="10"/>
  <c r="C367" i="10" l="1"/>
  <c r="A367" i="10"/>
  <c r="C368" i="10" l="1"/>
  <c r="A368" i="10"/>
  <c r="C369" i="10" l="1"/>
  <c r="A369" i="10"/>
  <c r="C370" i="10"/>
  <c r="A370" i="10"/>
  <c r="C371" i="10" l="1"/>
  <c r="A371" i="10"/>
  <c r="C375" i="10" l="1"/>
  <c r="A375" i="10"/>
  <c r="C386" i="10" l="1"/>
  <c r="A386" i="10"/>
  <c r="C385" i="10" l="1"/>
  <c r="A385" i="10"/>
  <c r="C383" i="10" l="1"/>
  <c r="A383" i="10"/>
  <c r="C384" i="10"/>
  <c r="A384" i="10"/>
  <c r="C389" i="10" l="1"/>
  <c r="A389" i="10"/>
  <c r="C400" i="10" l="1"/>
  <c r="A400" i="10"/>
  <c r="C409" i="10" l="1"/>
  <c r="A409" i="10"/>
  <c r="A410" i="10" l="1"/>
  <c r="C410" i="10"/>
  <c r="C411" i="10"/>
  <c r="A411" i="10"/>
  <c r="C412" i="10" l="1"/>
  <c r="A412" i="10"/>
  <c r="C420" i="10" l="1"/>
  <c r="C419" i="10"/>
  <c r="C415" i="10" l="1"/>
  <c r="A415" i="10"/>
  <c r="C418" i="10"/>
  <c r="A418" i="10"/>
  <c r="C421" i="10" l="1"/>
  <c r="C427" i="10" l="1"/>
  <c r="A427" i="10"/>
  <c r="C426" i="10"/>
  <c r="A426" i="10"/>
  <c r="C429" i="10" l="1"/>
  <c r="C428" i="10" l="1"/>
  <c r="C449" i="10" l="1"/>
  <c r="A449" i="10"/>
  <c r="C442" i="10"/>
  <c r="A442" i="10"/>
  <c r="C448" i="10" l="1"/>
  <c r="A448" i="10"/>
  <c r="C444" i="10"/>
  <c r="A444" i="10"/>
  <c r="A439" i="10"/>
  <c r="C439" i="10"/>
  <c r="C438" i="10"/>
  <c r="A438" i="10"/>
  <c r="C447" i="10"/>
  <c r="A447" i="10"/>
  <c r="C437" i="10" l="1"/>
  <c r="A437" i="10"/>
  <c r="C446" i="10"/>
  <c r="C445" i="10"/>
  <c r="A446" i="10"/>
  <c r="A445" i="10"/>
  <c r="C436" i="10"/>
  <c r="A436" i="10"/>
  <c r="C435" i="10"/>
  <c r="A435" i="10"/>
  <c r="C461" i="10" l="1"/>
  <c r="A460" i="10" l="1"/>
  <c r="C460" i="10"/>
  <c r="C459" i="10" l="1"/>
  <c r="C458" i="10"/>
  <c r="C29" i="7" l="1"/>
  <c r="C28" i="7"/>
  <c r="C27" i="7"/>
  <c r="C26" i="7"/>
  <c r="C25" i="7"/>
  <c r="A29" i="7"/>
  <c r="A28" i="7"/>
  <c r="A27" i="7"/>
  <c r="A26" i="7"/>
  <c r="A25" i="7"/>
  <c r="A30" i="7" l="1"/>
  <c r="C30" i="7"/>
  <c r="C41" i="7" l="1"/>
  <c r="A41" i="7"/>
  <c r="C42" i="7" l="1"/>
  <c r="A42" i="7"/>
  <c r="C44" i="7" l="1"/>
  <c r="A44" i="7"/>
  <c r="C45" i="7" l="1"/>
  <c r="A45" i="7"/>
  <c r="C49" i="7" l="1"/>
  <c r="A49" i="7"/>
  <c r="A50" i="7" l="1"/>
  <c r="C56" i="7" l="1"/>
  <c r="A56" i="7"/>
  <c r="C57" i="7" l="1"/>
  <c r="A57" i="7"/>
  <c r="C74" i="7" l="1"/>
  <c r="C73" i="7"/>
  <c r="A74" i="7"/>
  <c r="A73" i="7"/>
  <c r="C75" i="7" l="1"/>
  <c r="A75" i="7"/>
  <c r="C76" i="7" l="1"/>
  <c r="A76" i="7"/>
  <c r="A93" i="7" l="1"/>
  <c r="C77" i="7"/>
  <c r="A77" i="7"/>
  <c r="C78" i="7" l="1"/>
  <c r="A78" i="7"/>
  <c r="C79" i="7" l="1"/>
  <c r="A79" i="7"/>
  <c r="C80" i="7" l="1"/>
  <c r="A80" i="7"/>
  <c r="C81" i="7" l="1"/>
  <c r="A81" i="7"/>
  <c r="C82" i="7" l="1"/>
  <c r="A82" i="7"/>
  <c r="C101" i="7" l="1"/>
  <c r="A101" i="7"/>
  <c r="C103" i="7" l="1"/>
  <c r="A103" i="7"/>
  <c r="C112" i="7" l="1"/>
  <c r="A112" i="7"/>
  <c r="C113" i="7"/>
  <c r="A113" i="7"/>
  <c r="A116" i="7" l="1"/>
  <c r="C116" i="7"/>
  <c r="C115" i="7"/>
  <c r="A115" i="7"/>
  <c r="C123" i="7" l="1"/>
  <c r="C122" i="7"/>
  <c r="A123" i="7"/>
  <c r="A122" i="7"/>
  <c r="C124" i="7"/>
  <c r="A124" i="7"/>
  <c r="C125" i="7"/>
  <c r="A125" i="7"/>
  <c r="C126" i="7" l="1"/>
  <c r="A126" i="7"/>
  <c r="C127" i="7"/>
  <c r="A127" i="7"/>
  <c r="C130" i="7" l="1"/>
  <c r="A130" i="7"/>
  <c r="C133" i="7"/>
  <c r="A133" i="7"/>
  <c r="C134" i="7"/>
  <c r="A134" i="7"/>
  <c r="C135" i="7" l="1"/>
  <c r="A135" i="7"/>
  <c r="C136" i="7"/>
  <c r="A136" i="7"/>
  <c r="C137" i="7" l="1"/>
  <c r="A137" i="7"/>
  <c r="A138" i="7"/>
  <c r="C138" i="7"/>
  <c r="C139" i="7"/>
  <c r="A139" i="7"/>
  <c r="C140" i="7" l="1"/>
  <c r="A140" i="7"/>
  <c r="C143" i="7" l="1"/>
  <c r="A143" i="7"/>
  <c r="C144" i="7"/>
  <c r="A144" i="7"/>
  <c r="C145" i="7"/>
  <c r="A145" i="7"/>
  <c r="C148" i="7" l="1"/>
  <c r="C149" i="7" l="1"/>
  <c r="C150" i="7"/>
  <c r="C151" i="7" l="1"/>
  <c r="C165" i="7" l="1"/>
  <c r="A165" i="7"/>
  <c r="C168" i="7" l="1"/>
  <c r="C167" i="7"/>
  <c r="C169" i="7" l="1"/>
  <c r="C170" i="7"/>
  <c r="C171" i="7"/>
  <c r="A171" i="7"/>
  <c r="A170" i="7"/>
  <c r="A169" i="7"/>
  <c r="A176" i="7" l="1"/>
  <c r="C176" i="7"/>
  <c r="C172" i="7"/>
  <c r="A172" i="7"/>
  <c r="C173" i="7" l="1"/>
  <c r="A173" i="7"/>
  <c r="C175" i="7" l="1"/>
  <c r="A175" i="7"/>
  <c r="C174" i="7"/>
  <c r="A174" i="7"/>
  <c r="C177" i="7" l="1"/>
  <c r="A177" i="7"/>
  <c r="C187" i="7" l="1"/>
  <c r="A187" i="7"/>
  <c r="C186" i="7"/>
  <c r="A186" i="7"/>
  <c r="C193" i="7" l="1"/>
  <c r="C188" i="7" l="1"/>
  <c r="A188" i="7"/>
  <c r="A68" i="1" l="1"/>
  <c r="C72" i="1"/>
  <c r="A72" i="1"/>
  <c r="C71" i="1"/>
  <c r="C70" i="1"/>
  <c r="A71" i="1"/>
  <c r="A70" i="1"/>
  <c r="C69" i="1"/>
  <c r="A69" i="1"/>
  <c r="C74" i="1"/>
  <c r="A74" i="1"/>
  <c r="C79" i="1"/>
  <c r="C73" i="1"/>
  <c r="A73" i="1"/>
  <c r="C76" i="1"/>
  <c r="A76" i="1"/>
  <c r="C78" i="1"/>
  <c r="A78" i="1"/>
  <c r="C77" i="1"/>
  <c r="A77" i="1"/>
  <c r="C75" i="1"/>
  <c r="A75" i="1"/>
  <c r="C103" i="1"/>
  <c r="C104" i="1"/>
  <c r="A104" i="1"/>
  <c r="A103" i="1"/>
  <c r="C86" i="1"/>
  <c r="A86" i="1"/>
  <c r="C85" i="1"/>
  <c r="A85" i="1"/>
  <c r="C82" i="1"/>
  <c r="A82" i="1"/>
  <c r="C81" i="1"/>
  <c r="A81" i="1"/>
  <c r="C106" i="1"/>
  <c r="C105" i="1"/>
  <c r="A106" i="1"/>
  <c r="A105" i="1"/>
  <c r="C80" i="1"/>
  <c r="A80" i="1"/>
  <c r="C88" i="1"/>
  <c r="A88" i="1"/>
  <c r="C93" i="1"/>
  <c r="A93" i="1"/>
  <c r="C92" i="1"/>
  <c r="A92" i="1"/>
  <c r="C91" i="1"/>
  <c r="A91" i="1"/>
  <c r="C90" i="1"/>
  <c r="A90" i="1"/>
  <c r="C89" i="1"/>
  <c r="A89" i="1"/>
  <c r="C87" i="1"/>
  <c r="A87" i="1"/>
  <c r="C102" i="1"/>
  <c r="A102" i="1"/>
  <c r="C116" i="1"/>
  <c r="A116" i="1"/>
  <c r="C108" i="1"/>
  <c r="A108" i="1"/>
  <c r="C124" i="1"/>
  <c r="C123" i="1"/>
  <c r="A124" i="1"/>
  <c r="A123" i="1"/>
  <c r="C107" i="1"/>
  <c r="A107" i="1"/>
  <c r="C128" i="1"/>
  <c r="C127" i="1"/>
  <c r="A128" i="1"/>
  <c r="A127" i="1"/>
  <c r="C115" i="1"/>
  <c r="C114" i="1"/>
  <c r="C113" i="1"/>
  <c r="A115" i="1"/>
  <c r="A114" i="1"/>
  <c r="A113" i="1"/>
  <c r="C112" i="1"/>
  <c r="A112" i="1"/>
  <c r="C111" i="1"/>
  <c r="C110" i="1"/>
  <c r="A111" i="1"/>
  <c r="A110" i="1"/>
  <c r="C129" i="1"/>
  <c r="A129" i="1"/>
  <c r="C109" i="1"/>
  <c r="A109" i="1"/>
  <c r="C118" i="1"/>
  <c r="A118" i="1"/>
  <c r="X122" i="1"/>
  <c r="R122" i="1"/>
  <c r="Q122" i="1"/>
  <c r="P122" i="1"/>
  <c r="A122" i="1"/>
  <c r="C117" i="1"/>
  <c r="A117" i="1"/>
  <c r="C125" i="1"/>
  <c r="A125" i="1"/>
  <c r="C132" i="1"/>
  <c r="A132" i="1"/>
  <c r="A136" i="1"/>
  <c r="C136" i="1"/>
  <c r="C135" i="1"/>
  <c r="A135" i="1"/>
  <c r="C131" i="1"/>
  <c r="C130" i="1"/>
  <c r="A131" i="1"/>
  <c r="A130" i="1"/>
  <c r="C134" i="1"/>
  <c r="C133" i="1"/>
  <c r="A134" i="1"/>
  <c r="A133" i="1"/>
  <c r="C139" i="1"/>
  <c r="A139" i="1"/>
  <c r="C138" i="1"/>
  <c r="A138" i="1"/>
  <c r="C137" i="1"/>
  <c r="A137" i="1"/>
  <c r="C165" i="1"/>
  <c r="A165" i="1"/>
  <c r="C146" i="1"/>
  <c r="A146" i="1"/>
  <c r="C145" i="1"/>
  <c r="A145" i="1"/>
  <c r="C166" i="1"/>
  <c r="A166" i="1"/>
  <c r="C147" i="1"/>
  <c r="A147" i="1"/>
  <c r="C151" i="1"/>
  <c r="A151" i="1"/>
  <c r="C150" i="1"/>
  <c r="A150" i="1"/>
  <c r="C149" i="1"/>
  <c r="A149" i="1"/>
  <c r="C148" i="1"/>
  <c r="A148" i="1"/>
  <c r="C162" i="1"/>
  <c r="A162" i="1"/>
  <c r="C161" i="1"/>
  <c r="C160" i="1"/>
  <c r="A161" i="1"/>
  <c r="A160" i="1"/>
  <c r="C177" i="1"/>
  <c r="A177" i="1"/>
  <c r="C164" i="1"/>
  <c r="A164" i="1"/>
  <c r="C159" i="1"/>
  <c r="C158" i="1"/>
  <c r="C157" i="1"/>
  <c r="A159" i="1"/>
  <c r="A158" i="1"/>
  <c r="A157" i="1"/>
  <c r="C178" i="1"/>
  <c r="A178" i="1"/>
  <c r="C163" i="1"/>
  <c r="A163" i="1"/>
  <c r="C156" i="1"/>
  <c r="A156" i="1"/>
  <c r="C155" i="1"/>
  <c r="A155" i="1"/>
  <c r="C154" i="1"/>
  <c r="A154" i="1"/>
  <c r="C175" i="1"/>
  <c r="A175" i="1"/>
  <c r="C180" i="1"/>
  <c r="A180" i="1"/>
  <c r="C182" i="1"/>
  <c r="A182" i="1"/>
  <c r="C174" i="1"/>
  <c r="A174" i="1"/>
  <c r="C173" i="1"/>
  <c r="A173" i="1"/>
  <c r="C183" i="1"/>
  <c r="A183" i="1"/>
  <c r="C169" i="1"/>
  <c r="A169" i="1"/>
  <c r="C176" i="1"/>
  <c r="A176" i="1"/>
  <c r="C181" i="1"/>
  <c r="A181" i="1"/>
  <c r="C179" i="1"/>
  <c r="A179" i="1"/>
  <c r="C184" i="1"/>
  <c r="A184" i="1"/>
  <c r="C195" i="1"/>
  <c r="A195" i="1"/>
  <c r="C194" i="1"/>
  <c r="A194" i="1"/>
  <c r="C186" i="1"/>
  <c r="C185" i="1"/>
  <c r="A186" i="1"/>
  <c r="A185" i="1"/>
  <c r="C258" i="1"/>
  <c r="A258" i="1"/>
  <c r="C203" i="1"/>
  <c r="A203" i="1"/>
  <c r="C202" i="1"/>
  <c r="C201" i="1"/>
  <c r="A202" i="1"/>
  <c r="A201" i="1"/>
  <c r="C200" i="1"/>
  <c r="A200" i="1"/>
  <c r="C199" i="1"/>
  <c r="A199" i="1"/>
  <c r="C198" i="1"/>
  <c r="A198" i="1"/>
  <c r="C197" i="1"/>
  <c r="A197" i="1"/>
  <c r="C198" i="5"/>
  <c r="A198" i="5"/>
  <c r="C188" i="5"/>
  <c r="C186" i="5"/>
  <c r="C185" i="5"/>
  <c r="C184" i="5"/>
  <c r="C183" i="5"/>
  <c r="C181" i="5"/>
  <c r="C180" i="5"/>
  <c r="C178" i="5"/>
  <c r="A178" i="5"/>
  <c r="C177" i="5"/>
  <c r="C176" i="5"/>
  <c r="A176" i="5"/>
  <c r="C174" i="5"/>
  <c r="C172" i="5"/>
  <c r="C171" i="5"/>
  <c r="C170" i="5"/>
  <c r="C161" i="5"/>
  <c r="A161" i="5"/>
  <c r="C160" i="5"/>
  <c r="A160" i="5"/>
  <c r="C159" i="5"/>
  <c r="A159" i="5"/>
  <c r="C157" i="5"/>
  <c r="A157" i="5"/>
  <c r="C156" i="5"/>
  <c r="A156" i="5"/>
  <c r="C155" i="5"/>
  <c r="A155" i="5"/>
  <c r="C154" i="5"/>
  <c r="A154" i="5"/>
  <c r="C153" i="5"/>
  <c r="A153" i="5"/>
  <c r="C151" i="5"/>
  <c r="C150" i="5"/>
  <c r="A150" i="5"/>
  <c r="C149" i="5"/>
  <c r="A149" i="5"/>
  <c r="C146" i="5"/>
  <c r="A146" i="5"/>
  <c r="C145" i="5"/>
  <c r="A145" i="5"/>
  <c r="C144" i="5"/>
  <c r="A144" i="5"/>
  <c r="C143" i="5"/>
  <c r="A143" i="5"/>
  <c r="C142" i="5"/>
  <c r="A142" i="5"/>
  <c r="C141" i="5"/>
  <c r="A141" i="5"/>
  <c r="C140" i="5"/>
  <c r="A140" i="5"/>
  <c r="C138" i="5"/>
  <c r="A138" i="5"/>
  <c r="C137" i="5"/>
  <c r="A137" i="5"/>
  <c r="C136" i="5"/>
  <c r="A136" i="5"/>
  <c r="C135" i="5"/>
  <c r="A135" i="5"/>
  <c r="C134" i="5"/>
  <c r="A134" i="5"/>
  <c r="C133" i="5"/>
  <c r="A133" i="5"/>
  <c r="C132" i="5"/>
  <c r="A132" i="5"/>
  <c r="C131" i="5"/>
  <c r="A131" i="5"/>
  <c r="C130" i="5"/>
  <c r="A130" i="5"/>
  <c r="C129" i="5"/>
  <c r="A129" i="5"/>
  <c r="C114" i="5"/>
  <c r="A114" i="5"/>
  <c r="C113" i="5"/>
  <c r="A113" i="5"/>
  <c r="C112" i="5"/>
  <c r="A112" i="5"/>
  <c r="C111" i="5"/>
  <c r="A111" i="5"/>
  <c r="C110" i="5"/>
  <c r="A110" i="5"/>
  <c r="C109" i="5"/>
  <c r="A109" i="5"/>
  <c r="C107" i="5"/>
  <c r="A107" i="5"/>
  <c r="A106" i="5"/>
  <c r="C105" i="5"/>
  <c r="A105" i="5"/>
  <c r="C104" i="5"/>
  <c r="A104" i="5"/>
  <c r="C103" i="5"/>
  <c r="A103" i="5"/>
  <c r="C102" i="5"/>
  <c r="A102" i="5"/>
  <c r="C101" i="5"/>
  <c r="A101" i="5"/>
  <c r="C100" i="5"/>
  <c r="A100" i="5"/>
  <c r="A99" i="5"/>
  <c r="C98" i="5"/>
  <c r="A98" i="5"/>
  <c r="C97" i="5"/>
  <c r="A97" i="5"/>
  <c r="C96" i="5"/>
  <c r="A96" i="5"/>
  <c r="C93" i="5"/>
  <c r="A93" i="5"/>
  <c r="C92" i="5"/>
  <c r="A92" i="5"/>
  <c r="C91" i="5"/>
  <c r="A91" i="5"/>
  <c r="C90" i="5"/>
  <c r="A90" i="5"/>
  <c r="C89" i="5"/>
  <c r="A89" i="5"/>
  <c r="C88" i="5"/>
  <c r="A88" i="5"/>
  <c r="C87" i="5"/>
  <c r="A87" i="5"/>
  <c r="C86" i="5"/>
  <c r="A86" i="5"/>
  <c r="C85" i="5"/>
  <c r="A85" i="5"/>
  <c r="C83" i="5"/>
  <c r="A83" i="5"/>
  <c r="C82" i="5"/>
  <c r="A82" i="5"/>
  <c r="C81" i="5"/>
  <c r="A81" i="5"/>
  <c r="C80" i="5"/>
  <c r="A80" i="5"/>
  <c r="C79" i="5"/>
  <c r="A79" i="5"/>
  <c r="C78" i="5"/>
  <c r="A78" i="5"/>
  <c r="C77" i="5"/>
  <c r="A77" i="5"/>
  <c r="C76" i="5"/>
  <c r="A76" i="5"/>
  <c r="C61" i="5"/>
  <c r="A61" i="5"/>
  <c r="C51" i="5"/>
  <c r="A51" i="5"/>
  <c r="C50" i="5"/>
  <c r="A50" i="5"/>
  <c r="C49" i="5"/>
  <c r="A49" i="5"/>
  <c r="C48" i="5"/>
  <c r="A48" i="5"/>
  <c r="C47" i="5"/>
  <c r="A47" i="5"/>
  <c r="D46" i="5"/>
  <c r="C46" i="5"/>
  <c r="A46" i="5"/>
  <c r="C45" i="5"/>
  <c r="A45" i="5"/>
  <c r="C44" i="5"/>
  <c r="A44" i="5"/>
  <c r="C43" i="5"/>
  <c r="A43" i="5"/>
  <c r="C42" i="5"/>
  <c r="A42" i="5"/>
  <c r="A41" i="5"/>
  <c r="C40" i="5"/>
  <c r="A40" i="5"/>
  <c r="C39" i="5"/>
  <c r="A39" i="5"/>
  <c r="C38" i="5"/>
  <c r="A38" i="5"/>
  <c r="C37" i="5"/>
  <c r="A37" i="5"/>
  <c r="C36" i="5"/>
  <c r="A36" i="5"/>
  <c r="C35" i="5"/>
  <c r="A35" i="5"/>
  <c r="C34" i="5"/>
  <c r="A34" i="5"/>
  <c r="C33" i="5"/>
  <c r="A33" i="5"/>
  <c r="C32" i="5"/>
  <c r="A32" i="5"/>
  <c r="C31" i="5"/>
  <c r="A31" i="5"/>
  <c r="C30" i="5"/>
  <c r="A30" i="5"/>
  <c r="C29" i="5"/>
  <c r="A29" i="5"/>
  <c r="C28" i="5"/>
  <c r="A28" i="5"/>
  <c r="C27" i="5"/>
  <c r="A27" i="5"/>
  <c r="C26" i="5"/>
  <c r="A26" i="5"/>
  <c r="C25" i="5"/>
  <c r="A25" i="5"/>
  <c r="C24" i="5"/>
  <c r="A24" i="5"/>
  <c r="C23" i="5"/>
  <c r="A23" i="5"/>
  <c r="C22" i="5"/>
  <c r="A22" i="5"/>
  <c r="C21" i="5"/>
  <c r="A21" i="5"/>
  <c r="C20" i="5"/>
  <c r="A20" i="5"/>
  <c r="C19" i="5"/>
  <c r="A19" i="5"/>
  <c r="C18" i="5"/>
  <c r="A18" i="5"/>
  <c r="C17" i="5"/>
  <c r="A17" i="5"/>
  <c r="C16" i="5"/>
  <c r="A16" i="5"/>
  <c r="C12" i="5"/>
  <c r="A12" i="5"/>
  <c r="C11" i="5"/>
  <c r="A11" i="5"/>
  <c r="C10" i="5"/>
  <c r="A10" i="5"/>
  <c r="A7" i="5"/>
  <c r="C6" i="5"/>
  <c r="A6" i="5"/>
  <c r="C5" i="5"/>
  <c r="A5" i="5"/>
  <c r="C4" i="5"/>
  <c r="A4" i="5"/>
  <c r="C196" i="1"/>
  <c r="A196" i="1"/>
  <c r="C254" i="1"/>
  <c r="A254" i="1"/>
  <c r="C253" i="1"/>
  <c r="A253" i="1"/>
  <c r="C251" i="1"/>
  <c r="A251" i="1"/>
  <c r="C250" i="1"/>
  <c r="C249" i="1"/>
  <c r="C248" i="1"/>
  <c r="C247" i="1"/>
  <c r="A250" i="1"/>
  <c r="A249" i="1"/>
  <c r="A248" i="1"/>
  <c r="A247" i="1"/>
  <c r="C246" i="1"/>
  <c r="A246" i="1"/>
  <c r="C245" i="1"/>
  <c r="A245" i="1"/>
  <c r="C244" i="1"/>
  <c r="A244" i="1"/>
  <c r="C243" i="1"/>
  <c r="A243" i="1"/>
  <c r="C257" i="1"/>
  <c r="A257" i="1"/>
  <c r="C256" i="1"/>
  <c r="A256" i="1"/>
  <c r="C264" i="1"/>
  <c r="A264" i="1"/>
  <c r="C263" i="1"/>
  <c r="C262" i="1"/>
  <c r="A263" i="1"/>
  <c r="A262" i="1"/>
  <c r="C261" i="1"/>
  <c r="A261" i="1"/>
  <c r="C259" i="1"/>
  <c r="A259" i="1"/>
  <c r="C269" i="1"/>
  <c r="A269" i="1"/>
  <c r="C266" i="1"/>
  <c r="A266" i="1"/>
  <c r="C265" i="1"/>
  <c r="A265" i="1"/>
  <c r="C272" i="1"/>
  <c r="A272" i="1"/>
  <c r="C286" i="1"/>
  <c r="A286" i="1"/>
  <c r="C281" i="1"/>
  <c r="C280" i="1"/>
  <c r="A281" i="1"/>
  <c r="A280" i="1"/>
  <c r="C282" i="1"/>
  <c r="A282" i="1"/>
  <c r="C271" i="1"/>
  <c r="A271" i="1"/>
  <c r="C285" i="1"/>
  <c r="C284" i="1"/>
  <c r="A285" i="1"/>
  <c r="A284" i="1"/>
  <c r="C283" i="1"/>
  <c r="A283" i="1"/>
  <c r="C306" i="1"/>
  <c r="A306" i="1"/>
  <c r="C305" i="1"/>
  <c r="A305" i="1"/>
  <c r="C308" i="1"/>
  <c r="A308" i="1"/>
  <c r="C304" i="1"/>
  <c r="C303" i="1"/>
  <c r="A304" i="1"/>
  <c r="A303" i="1"/>
  <c r="C307" i="1"/>
  <c r="A307" i="1"/>
  <c r="C300" i="1"/>
  <c r="C299" i="1"/>
  <c r="C298" i="1"/>
  <c r="C297" i="1"/>
  <c r="A300" i="1"/>
  <c r="A299" i="1"/>
  <c r="A298" i="1"/>
  <c r="A297" i="1"/>
  <c r="C296" i="1"/>
  <c r="A296" i="1"/>
  <c r="C295" i="1"/>
  <c r="A295" i="1"/>
  <c r="C294" i="1"/>
  <c r="A294" i="1"/>
  <c r="C293" i="1"/>
  <c r="A293" i="1"/>
  <c r="C292" i="1"/>
  <c r="A292" i="1"/>
  <c r="C289" i="1"/>
  <c r="A289" i="1"/>
  <c r="C314" i="1"/>
  <c r="A314" i="1"/>
  <c r="C323" i="1"/>
  <c r="C322" i="1"/>
  <c r="C321" i="1"/>
  <c r="C320" i="1"/>
  <c r="C319" i="1"/>
  <c r="C318" i="1"/>
  <c r="C317" i="1"/>
  <c r="A323" i="1"/>
  <c r="A322" i="1"/>
  <c r="A321" i="1"/>
  <c r="A320" i="1"/>
  <c r="A319" i="1"/>
  <c r="A318" i="1"/>
  <c r="A317" i="1"/>
  <c r="C324" i="1"/>
  <c r="A324" i="1"/>
  <c r="C288" i="1"/>
  <c r="A288" i="1"/>
  <c r="C325" i="1"/>
  <c r="A325" i="1"/>
  <c r="C326" i="1"/>
  <c r="A326" i="1"/>
  <c r="C327" i="1"/>
  <c r="A327" i="1"/>
  <c r="C328" i="1"/>
  <c r="A328" i="1"/>
  <c r="C330" i="1"/>
  <c r="A330" i="1"/>
  <c r="C329" i="1"/>
  <c r="A329" i="1"/>
  <c r="C331" i="1"/>
  <c r="A331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C369" i="1"/>
  <c r="A369" i="1"/>
  <c r="C370" i="1"/>
  <c r="A370" i="1"/>
  <c r="C371" i="1"/>
  <c r="A371" i="1"/>
  <c r="C375" i="1"/>
  <c r="A375" i="1"/>
  <c r="C382" i="1"/>
  <c r="A382" i="1"/>
  <c r="C378" i="1"/>
  <c r="XFD378" i="1"/>
  <c r="XEW378" i="1"/>
  <c r="XEV378" i="1"/>
  <c r="XEO378" i="1"/>
  <c r="XEN378" i="1"/>
  <c r="XEG378" i="1"/>
  <c r="XEF378" i="1"/>
  <c r="XDY378" i="1"/>
  <c r="XDX378" i="1"/>
  <c r="XDQ378" i="1"/>
  <c r="XDP378" i="1"/>
  <c r="XDI378" i="1"/>
  <c r="XDH378" i="1"/>
  <c r="XDA378" i="1"/>
  <c r="XCZ378" i="1"/>
  <c r="XCS378" i="1"/>
  <c r="XCR378" i="1"/>
  <c r="XCK378" i="1"/>
  <c r="XCJ378" i="1"/>
  <c r="XCC378" i="1"/>
  <c r="XCB378" i="1"/>
  <c r="XBU378" i="1"/>
  <c r="XBT378" i="1"/>
  <c r="XBM378" i="1"/>
  <c r="XBL378" i="1"/>
  <c r="XBE378" i="1"/>
  <c r="XBD378" i="1"/>
  <c r="XAW378" i="1"/>
  <c r="XAV378" i="1"/>
  <c r="XAO378" i="1"/>
  <c r="XAN378" i="1"/>
  <c r="XAG378" i="1"/>
  <c r="XAF378" i="1"/>
  <c r="WZY378" i="1"/>
  <c r="WZX378" i="1"/>
  <c r="WZQ378" i="1"/>
  <c r="WZP378" i="1"/>
  <c r="WZI378" i="1"/>
  <c r="WZH378" i="1"/>
  <c r="WZA378" i="1"/>
  <c r="WYZ378" i="1"/>
  <c r="WYS378" i="1"/>
  <c r="WYR378" i="1"/>
  <c r="WYK378" i="1"/>
  <c r="WYJ378" i="1"/>
  <c r="WYC378" i="1"/>
  <c r="WYB378" i="1"/>
  <c r="WXU378" i="1"/>
  <c r="WXT378" i="1"/>
  <c r="WXM378" i="1"/>
  <c r="WXL378" i="1"/>
  <c r="WXE378" i="1"/>
  <c r="WXD378" i="1"/>
  <c r="WWW378" i="1"/>
  <c r="WWV378" i="1"/>
  <c r="WWO378" i="1"/>
  <c r="WWN378" i="1"/>
  <c r="WWG378" i="1"/>
  <c r="WWF378" i="1"/>
  <c r="WVY378" i="1"/>
  <c r="WVX378" i="1"/>
  <c r="WVQ378" i="1"/>
  <c r="WVP378" i="1"/>
  <c r="WVI378" i="1"/>
  <c r="WVH378" i="1"/>
  <c r="WVA378" i="1"/>
  <c r="WUZ378" i="1"/>
  <c r="WUS378" i="1"/>
  <c r="WUR378" i="1"/>
  <c r="WUK378" i="1"/>
  <c r="WUJ378" i="1"/>
  <c r="WUC378" i="1"/>
  <c r="WUB378" i="1"/>
  <c r="WTU378" i="1"/>
  <c r="WTT378" i="1"/>
  <c r="WTM378" i="1"/>
  <c r="WTL378" i="1"/>
  <c r="WTE378" i="1"/>
  <c r="WTD378" i="1"/>
  <c r="WSW378" i="1"/>
  <c r="WSV378" i="1"/>
  <c r="WSO378" i="1"/>
  <c r="WSN378" i="1"/>
  <c r="WSG378" i="1"/>
  <c r="WSF378" i="1"/>
  <c r="WRY378" i="1"/>
  <c r="WRX378" i="1"/>
  <c r="WRQ378" i="1"/>
  <c r="WRP378" i="1"/>
  <c r="WRI378" i="1"/>
  <c r="WRH378" i="1"/>
  <c r="WRA378" i="1"/>
  <c r="WQZ378" i="1"/>
  <c r="WQS378" i="1"/>
  <c r="WQR378" i="1"/>
  <c r="WQK378" i="1"/>
  <c r="WQJ378" i="1"/>
  <c r="WQC378" i="1"/>
  <c r="WQB378" i="1"/>
  <c r="WPU378" i="1"/>
  <c r="WPT378" i="1"/>
  <c r="WPM378" i="1"/>
  <c r="WPL378" i="1"/>
  <c r="WPE378" i="1"/>
  <c r="WPD378" i="1"/>
  <c r="WOW378" i="1"/>
  <c r="WOV378" i="1"/>
  <c r="WOO378" i="1"/>
  <c r="WON378" i="1"/>
  <c r="WOG378" i="1"/>
  <c r="WOF378" i="1"/>
  <c r="WNY378" i="1"/>
  <c r="WNX378" i="1"/>
  <c r="WNQ378" i="1"/>
  <c r="WNP378" i="1"/>
  <c r="WNI378" i="1"/>
  <c r="WNH378" i="1"/>
  <c r="WNA378" i="1"/>
  <c r="WMZ378" i="1"/>
  <c r="WMS378" i="1"/>
  <c r="WMR378" i="1"/>
  <c r="WMK378" i="1"/>
  <c r="WMJ378" i="1"/>
  <c r="WMC378" i="1"/>
  <c r="WMB378" i="1"/>
  <c r="WLU378" i="1"/>
  <c r="WLT378" i="1"/>
  <c r="WLM378" i="1"/>
  <c r="WLL378" i="1"/>
  <c r="WLE378" i="1"/>
  <c r="WLD378" i="1"/>
  <c r="WKW378" i="1"/>
  <c r="WKV378" i="1"/>
  <c r="WKO378" i="1"/>
  <c r="WKN378" i="1"/>
  <c r="WKG378" i="1"/>
  <c r="WKF378" i="1"/>
  <c r="WJY378" i="1"/>
  <c r="WJX378" i="1"/>
  <c r="WJQ378" i="1"/>
  <c r="WJP378" i="1"/>
  <c r="WJI378" i="1"/>
  <c r="WJH378" i="1"/>
  <c r="WJA378" i="1"/>
  <c r="WIZ378" i="1"/>
  <c r="WIS378" i="1"/>
  <c r="WIR378" i="1"/>
  <c r="WIK378" i="1"/>
  <c r="WIJ378" i="1"/>
  <c r="WIC378" i="1"/>
  <c r="WIB378" i="1"/>
  <c r="WHU378" i="1"/>
  <c r="WHT378" i="1"/>
  <c r="WHM378" i="1"/>
  <c r="WHL378" i="1"/>
  <c r="WHE378" i="1"/>
  <c r="WHD378" i="1"/>
  <c r="WGW378" i="1"/>
  <c r="WGV378" i="1"/>
  <c r="WGO378" i="1"/>
  <c r="WGN378" i="1"/>
  <c r="WGG378" i="1"/>
  <c r="WGF378" i="1"/>
  <c r="WFY378" i="1"/>
  <c r="WFX378" i="1"/>
  <c r="WFQ378" i="1"/>
  <c r="WFP378" i="1"/>
  <c r="WFI378" i="1"/>
  <c r="WFH378" i="1"/>
  <c r="WFA378" i="1"/>
  <c r="WEZ378" i="1"/>
  <c r="WES378" i="1"/>
  <c r="WER378" i="1"/>
  <c r="WEK378" i="1"/>
  <c r="WEJ378" i="1"/>
  <c r="WEC378" i="1"/>
  <c r="WEB378" i="1"/>
  <c r="WDU378" i="1"/>
  <c r="WDT378" i="1"/>
  <c r="WDM378" i="1"/>
  <c r="WDL378" i="1"/>
  <c r="WDE378" i="1"/>
  <c r="WDD378" i="1"/>
  <c r="WCW378" i="1"/>
  <c r="WCV378" i="1"/>
  <c r="WCO378" i="1"/>
  <c r="WCN378" i="1"/>
  <c r="WCG378" i="1"/>
  <c r="WCF378" i="1"/>
  <c r="WBY378" i="1"/>
  <c r="WBX378" i="1"/>
  <c r="WBQ378" i="1"/>
  <c r="WBP378" i="1"/>
  <c r="WBI378" i="1"/>
  <c r="WBH378" i="1"/>
  <c r="WBA378" i="1"/>
  <c r="WAZ378" i="1"/>
  <c r="WAS378" i="1"/>
  <c r="WAR378" i="1"/>
  <c r="WAK378" i="1"/>
  <c r="WAJ378" i="1"/>
  <c r="WAC378" i="1"/>
  <c r="WAB378" i="1"/>
  <c r="VZU378" i="1"/>
  <c r="VZT378" i="1"/>
  <c r="VZM378" i="1"/>
  <c r="VZL378" i="1"/>
  <c r="VZE378" i="1"/>
  <c r="VZD378" i="1"/>
  <c r="VYW378" i="1"/>
  <c r="VYV378" i="1"/>
  <c r="VYO378" i="1"/>
  <c r="VYN378" i="1"/>
  <c r="VYG378" i="1"/>
  <c r="VYF378" i="1"/>
  <c r="VXY378" i="1"/>
  <c r="VXX378" i="1"/>
  <c r="VXQ378" i="1"/>
  <c r="VXP378" i="1"/>
  <c r="VXI378" i="1"/>
  <c r="VXH378" i="1"/>
  <c r="VXA378" i="1"/>
  <c r="VWZ378" i="1"/>
  <c r="VWS378" i="1"/>
  <c r="VWR378" i="1"/>
  <c r="VWK378" i="1"/>
  <c r="VWJ378" i="1"/>
  <c r="VWC378" i="1"/>
  <c r="VWB378" i="1"/>
  <c r="VVU378" i="1"/>
  <c r="VVT378" i="1"/>
  <c r="VVM378" i="1"/>
  <c r="VVL378" i="1"/>
  <c r="VVE378" i="1"/>
  <c r="VVD378" i="1"/>
  <c r="VUW378" i="1"/>
  <c r="VUV378" i="1"/>
  <c r="VUO378" i="1"/>
  <c r="VUN378" i="1"/>
  <c r="VUG378" i="1"/>
  <c r="VUF378" i="1"/>
  <c r="VTY378" i="1"/>
  <c r="VTX378" i="1"/>
  <c r="VTQ378" i="1"/>
  <c r="VTP378" i="1"/>
  <c r="VTI378" i="1"/>
  <c r="VTH378" i="1"/>
  <c r="VTA378" i="1"/>
  <c r="VSZ378" i="1"/>
  <c r="VSS378" i="1"/>
  <c r="VSR378" i="1"/>
  <c r="VSK378" i="1"/>
  <c r="VSJ378" i="1"/>
  <c r="VSC378" i="1"/>
  <c r="VSB378" i="1"/>
  <c r="VRU378" i="1"/>
  <c r="VRT378" i="1"/>
  <c r="VRM378" i="1"/>
  <c r="VRL378" i="1"/>
  <c r="VRE378" i="1"/>
  <c r="VRD378" i="1"/>
  <c r="VQW378" i="1"/>
  <c r="VQV378" i="1"/>
  <c r="VQO378" i="1"/>
  <c r="VQN378" i="1"/>
  <c r="VQG378" i="1"/>
  <c r="VQF378" i="1"/>
  <c r="VPY378" i="1"/>
  <c r="VPX378" i="1"/>
  <c r="VPQ378" i="1"/>
  <c r="VPP378" i="1"/>
  <c r="VPI378" i="1"/>
  <c r="VPH378" i="1"/>
  <c r="VPA378" i="1"/>
  <c r="VOZ378" i="1"/>
  <c r="VOS378" i="1"/>
  <c r="VOR378" i="1"/>
  <c r="VOK378" i="1"/>
  <c r="VOJ378" i="1"/>
  <c r="VOC378" i="1"/>
  <c r="VOB378" i="1"/>
  <c r="VNU378" i="1"/>
  <c r="VNT378" i="1"/>
  <c r="VNM378" i="1"/>
  <c r="VNL378" i="1"/>
  <c r="VNE378" i="1"/>
  <c r="VND378" i="1"/>
  <c r="VMW378" i="1"/>
  <c r="VMV378" i="1"/>
  <c r="VMO378" i="1"/>
  <c r="VMN378" i="1"/>
  <c r="VMG378" i="1"/>
  <c r="VMF378" i="1"/>
  <c r="VLY378" i="1"/>
  <c r="VLX378" i="1"/>
  <c r="VLQ378" i="1"/>
  <c r="VLP378" i="1"/>
  <c r="VLI378" i="1"/>
  <c r="VLH378" i="1"/>
  <c r="VLA378" i="1"/>
  <c r="VKZ378" i="1"/>
  <c r="VKS378" i="1"/>
  <c r="VKR378" i="1"/>
  <c r="VKK378" i="1"/>
  <c r="VKJ378" i="1"/>
  <c r="VKC378" i="1"/>
  <c r="VKB378" i="1"/>
  <c r="VJU378" i="1"/>
  <c r="VJT378" i="1"/>
  <c r="VJM378" i="1"/>
  <c r="VJL378" i="1"/>
  <c r="VJE378" i="1"/>
  <c r="VJD378" i="1"/>
  <c r="VIW378" i="1"/>
  <c r="VIV378" i="1"/>
  <c r="VIO378" i="1"/>
  <c r="VIN378" i="1"/>
  <c r="VIG378" i="1"/>
  <c r="VIF378" i="1"/>
  <c r="VHY378" i="1"/>
  <c r="VHX378" i="1"/>
  <c r="VHQ378" i="1"/>
  <c r="VHP378" i="1"/>
  <c r="VHI378" i="1"/>
  <c r="VHH378" i="1"/>
  <c r="VHA378" i="1"/>
  <c r="VGZ378" i="1"/>
  <c r="VGS378" i="1"/>
  <c r="VGR378" i="1"/>
  <c r="VGK378" i="1"/>
  <c r="VGJ378" i="1"/>
  <c r="VGC378" i="1"/>
  <c r="VGB378" i="1"/>
  <c r="VFU378" i="1"/>
  <c r="VFT378" i="1"/>
  <c r="VFM378" i="1"/>
  <c r="VFL378" i="1"/>
  <c r="VFE378" i="1"/>
  <c r="VFD378" i="1"/>
  <c r="VEW378" i="1"/>
  <c r="VEV378" i="1"/>
  <c r="VEO378" i="1"/>
  <c r="VEN378" i="1"/>
  <c r="VEG378" i="1"/>
  <c r="VEF378" i="1"/>
  <c r="VDY378" i="1"/>
  <c r="VDX378" i="1"/>
  <c r="VDQ378" i="1"/>
  <c r="VDP378" i="1"/>
  <c r="VDI378" i="1"/>
  <c r="VDH378" i="1"/>
  <c r="VDA378" i="1"/>
  <c r="VCZ378" i="1"/>
  <c r="VCS378" i="1"/>
  <c r="VCR378" i="1"/>
  <c r="VCK378" i="1"/>
  <c r="VCJ378" i="1"/>
  <c r="VCC378" i="1"/>
  <c r="VCB378" i="1"/>
  <c r="VBU378" i="1"/>
  <c r="VBT378" i="1"/>
  <c r="VBM378" i="1"/>
  <c r="VBL378" i="1"/>
  <c r="VBE378" i="1"/>
  <c r="VBD378" i="1"/>
  <c r="VAW378" i="1"/>
  <c r="VAV378" i="1"/>
  <c r="VAO378" i="1"/>
  <c r="VAN378" i="1"/>
  <c r="VAG378" i="1"/>
  <c r="VAF378" i="1"/>
  <c r="UZY378" i="1"/>
  <c r="UZX378" i="1"/>
  <c r="UZQ378" i="1"/>
  <c r="UZP378" i="1"/>
  <c r="UZI378" i="1"/>
  <c r="UZH378" i="1"/>
  <c r="UZA378" i="1"/>
  <c r="UYZ378" i="1"/>
  <c r="UYS378" i="1"/>
  <c r="UYR378" i="1"/>
  <c r="UYK378" i="1"/>
  <c r="UYJ378" i="1"/>
  <c r="UYC378" i="1"/>
  <c r="UYB378" i="1"/>
  <c r="UXU378" i="1"/>
  <c r="UXT378" i="1"/>
  <c r="UXM378" i="1"/>
  <c r="UXL378" i="1"/>
  <c r="UXE378" i="1"/>
  <c r="UXD378" i="1"/>
  <c r="UWW378" i="1"/>
  <c r="UWV378" i="1"/>
  <c r="UWO378" i="1"/>
  <c r="UWN378" i="1"/>
  <c r="UWG378" i="1"/>
  <c r="UWF378" i="1"/>
  <c r="UVY378" i="1"/>
  <c r="UVX378" i="1"/>
  <c r="UVQ378" i="1"/>
  <c r="UVP378" i="1"/>
  <c r="UVI378" i="1"/>
  <c r="UVH378" i="1"/>
  <c r="UVA378" i="1"/>
  <c r="UUZ378" i="1"/>
  <c r="UUS378" i="1"/>
  <c r="UUR378" i="1"/>
  <c r="UUK378" i="1"/>
  <c r="UUJ378" i="1"/>
  <c r="UUC378" i="1"/>
  <c r="UUB378" i="1"/>
  <c r="UTU378" i="1"/>
  <c r="UTT378" i="1"/>
  <c r="UTM378" i="1"/>
  <c r="UTL378" i="1"/>
  <c r="UTE378" i="1"/>
  <c r="UTD378" i="1"/>
  <c r="USW378" i="1"/>
  <c r="USV378" i="1"/>
  <c r="USO378" i="1"/>
  <c r="USN378" i="1"/>
  <c r="USG378" i="1"/>
  <c r="USF378" i="1"/>
  <c r="URY378" i="1"/>
  <c r="URX378" i="1"/>
  <c r="URQ378" i="1"/>
  <c r="URP378" i="1"/>
  <c r="URI378" i="1"/>
  <c r="URH378" i="1"/>
  <c r="URA378" i="1"/>
  <c r="UQZ378" i="1"/>
  <c r="UQS378" i="1"/>
  <c r="UQR378" i="1"/>
  <c r="UQK378" i="1"/>
  <c r="UQJ378" i="1"/>
  <c r="UQC378" i="1"/>
  <c r="UQB378" i="1"/>
  <c r="UPU378" i="1"/>
  <c r="UPT378" i="1"/>
  <c r="UPM378" i="1"/>
  <c r="UPL378" i="1"/>
  <c r="UPE378" i="1"/>
  <c r="UPD378" i="1"/>
  <c r="UOW378" i="1"/>
  <c r="UOV378" i="1"/>
  <c r="UOO378" i="1"/>
  <c r="UON378" i="1"/>
  <c r="UOG378" i="1"/>
  <c r="UOF378" i="1"/>
  <c r="UNY378" i="1"/>
  <c r="UNX378" i="1"/>
  <c r="UNQ378" i="1"/>
  <c r="UNP378" i="1"/>
  <c r="UNI378" i="1"/>
  <c r="UNH378" i="1"/>
  <c r="UNA378" i="1"/>
  <c r="UMZ378" i="1"/>
  <c r="UMS378" i="1"/>
  <c r="UMR378" i="1"/>
  <c r="UMK378" i="1"/>
  <c r="UMJ378" i="1"/>
  <c r="UMC378" i="1"/>
  <c r="UMB378" i="1"/>
  <c r="ULU378" i="1"/>
  <c r="ULT378" i="1"/>
  <c r="ULM378" i="1"/>
  <c r="ULL378" i="1"/>
  <c r="ULE378" i="1"/>
  <c r="ULD378" i="1"/>
  <c r="UKW378" i="1"/>
  <c r="UKV378" i="1"/>
  <c r="UKO378" i="1"/>
  <c r="UKN378" i="1"/>
  <c r="UKG378" i="1"/>
  <c r="UKF378" i="1"/>
  <c r="UJY378" i="1"/>
  <c r="UJX378" i="1"/>
  <c r="UJQ378" i="1"/>
  <c r="UJP378" i="1"/>
  <c r="UJI378" i="1"/>
  <c r="UJH378" i="1"/>
  <c r="UJA378" i="1"/>
  <c r="UIZ378" i="1"/>
  <c r="UIS378" i="1"/>
  <c r="UIR378" i="1"/>
  <c r="UIK378" i="1"/>
  <c r="UIJ378" i="1"/>
  <c r="UIC378" i="1"/>
  <c r="UIB378" i="1"/>
  <c r="UHU378" i="1"/>
  <c r="UHT378" i="1"/>
  <c r="UHM378" i="1"/>
  <c r="UHL378" i="1"/>
  <c r="UHE378" i="1"/>
  <c r="UHD378" i="1"/>
  <c r="UGW378" i="1"/>
  <c r="UGV378" i="1"/>
  <c r="UGO378" i="1"/>
  <c r="UGN378" i="1"/>
  <c r="UGG378" i="1"/>
  <c r="UGF378" i="1"/>
  <c r="UFY378" i="1"/>
  <c r="UFX378" i="1"/>
  <c r="UFQ378" i="1"/>
  <c r="UFP378" i="1"/>
  <c r="UFI378" i="1"/>
  <c r="UFH378" i="1"/>
  <c r="UFA378" i="1"/>
  <c r="UEZ378" i="1"/>
  <c r="UES378" i="1"/>
  <c r="UER378" i="1"/>
  <c r="UEK378" i="1"/>
  <c r="UEJ378" i="1"/>
  <c r="UEC378" i="1"/>
  <c r="UEB378" i="1"/>
  <c r="UDU378" i="1"/>
  <c r="UDT378" i="1"/>
  <c r="UDM378" i="1"/>
  <c r="UDL378" i="1"/>
  <c r="UDE378" i="1"/>
  <c r="UDD378" i="1"/>
  <c r="UCW378" i="1"/>
  <c r="UCV378" i="1"/>
  <c r="UCO378" i="1"/>
  <c r="UCN378" i="1"/>
  <c r="UCG378" i="1"/>
  <c r="UCF378" i="1"/>
  <c r="UBY378" i="1"/>
  <c r="UBX378" i="1"/>
  <c r="UBQ378" i="1"/>
  <c r="UBP378" i="1"/>
  <c r="UBI378" i="1"/>
  <c r="UBH378" i="1"/>
  <c r="UBA378" i="1"/>
  <c r="UAZ378" i="1"/>
  <c r="UAS378" i="1"/>
  <c r="UAR378" i="1"/>
  <c r="UAK378" i="1"/>
  <c r="UAJ378" i="1"/>
  <c r="UAC378" i="1"/>
  <c r="UAB378" i="1"/>
  <c r="TZU378" i="1"/>
  <c r="TZT378" i="1"/>
  <c r="TZM378" i="1"/>
  <c r="TZL378" i="1"/>
  <c r="TZE378" i="1"/>
  <c r="TZD378" i="1"/>
  <c r="TYW378" i="1"/>
  <c r="TYV378" i="1"/>
  <c r="TYO378" i="1"/>
  <c r="TYN378" i="1"/>
  <c r="TYG378" i="1"/>
  <c r="TYF378" i="1"/>
  <c r="TXY378" i="1"/>
  <c r="TXX378" i="1"/>
  <c r="TXQ378" i="1"/>
  <c r="TXP378" i="1"/>
  <c r="TXI378" i="1"/>
  <c r="TXH378" i="1"/>
  <c r="TXA378" i="1"/>
  <c r="TWZ378" i="1"/>
  <c r="TWS378" i="1"/>
  <c r="TWR378" i="1"/>
  <c r="TWK378" i="1"/>
  <c r="TWJ378" i="1"/>
  <c r="TWC378" i="1"/>
  <c r="TWB378" i="1"/>
  <c r="TVU378" i="1"/>
  <c r="TVT378" i="1"/>
  <c r="TVM378" i="1"/>
  <c r="TVL378" i="1"/>
  <c r="TVE378" i="1"/>
  <c r="TVD378" i="1"/>
  <c r="TUW378" i="1"/>
  <c r="TUV378" i="1"/>
  <c r="TUO378" i="1"/>
  <c r="TUN378" i="1"/>
  <c r="TUG378" i="1"/>
  <c r="TUF378" i="1"/>
  <c r="TTY378" i="1"/>
  <c r="TTX378" i="1"/>
  <c r="TTQ378" i="1"/>
  <c r="TTP378" i="1"/>
  <c r="TTI378" i="1"/>
  <c r="TTH378" i="1"/>
  <c r="TTA378" i="1"/>
  <c r="TSZ378" i="1"/>
  <c r="TSS378" i="1"/>
  <c r="TSR378" i="1"/>
  <c r="TSK378" i="1"/>
  <c r="TSJ378" i="1"/>
  <c r="TSC378" i="1"/>
  <c r="TSB378" i="1"/>
  <c r="TRU378" i="1"/>
  <c r="TRT378" i="1"/>
  <c r="TRM378" i="1"/>
  <c r="TRL378" i="1"/>
  <c r="TRE378" i="1"/>
  <c r="TRD378" i="1"/>
  <c r="TQW378" i="1"/>
  <c r="TQV378" i="1"/>
  <c r="TQO378" i="1"/>
  <c r="TQN378" i="1"/>
  <c r="TQG378" i="1"/>
  <c r="TQF378" i="1"/>
  <c r="TPY378" i="1"/>
  <c r="TPX378" i="1"/>
  <c r="TPQ378" i="1"/>
  <c r="TPP378" i="1"/>
  <c r="TPI378" i="1"/>
  <c r="TPH378" i="1"/>
  <c r="TPA378" i="1"/>
  <c r="TOZ378" i="1"/>
  <c r="TOS378" i="1"/>
  <c r="TOR378" i="1"/>
  <c r="TOK378" i="1"/>
  <c r="TOJ378" i="1"/>
  <c r="TOC378" i="1"/>
  <c r="TOB378" i="1"/>
  <c r="TNU378" i="1"/>
  <c r="TNT378" i="1"/>
  <c r="TNM378" i="1"/>
  <c r="TNL378" i="1"/>
  <c r="TNE378" i="1"/>
  <c r="TND378" i="1"/>
  <c r="TMW378" i="1"/>
  <c r="TMV378" i="1"/>
  <c r="TMO378" i="1"/>
  <c r="TMN378" i="1"/>
  <c r="TMG378" i="1"/>
  <c r="TMF378" i="1"/>
  <c r="TLY378" i="1"/>
  <c r="TLX378" i="1"/>
  <c r="TLQ378" i="1"/>
  <c r="TLP378" i="1"/>
  <c r="TLI378" i="1"/>
  <c r="TLH378" i="1"/>
  <c r="TLA378" i="1"/>
  <c r="TKZ378" i="1"/>
  <c r="TKS378" i="1"/>
  <c r="TKR378" i="1"/>
  <c r="TKK378" i="1"/>
  <c r="TKJ378" i="1"/>
  <c r="TKC378" i="1"/>
  <c r="TKB378" i="1"/>
  <c r="TJU378" i="1"/>
  <c r="TJT378" i="1"/>
  <c r="TJM378" i="1"/>
  <c r="TJL378" i="1"/>
  <c r="TJE378" i="1"/>
  <c r="TJD378" i="1"/>
  <c r="TIW378" i="1"/>
  <c r="TIV378" i="1"/>
  <c r="TIO378" i="1"/>
  <c r="TIN378" i="1"/>
  <c r="TIG378" i="1"/>
  <c r="TIF378" i="1"/>
  <c r="THY378" i="1"/>
  <c r="THX378" i="1"/>
  <c r="THQ378" i="1"/>
  <c r="THP378" i="1"/>
  <c r="THI378" i="1"/>
  <c r="THH378" i="1"/>
  <c r="THA378" i="1"/>
  <c r="TGZ378" i="1"/>
  <c r="TGS378" i="1"/>
  <c r="TGR378" i="1"/>
  <c r="TGK378" i="1"/>
  <c r="TGJ378" i="1"/>
  <c r="TGC378" i="1"/>
  <c r="TGB378" i="1"/>
  <c r="TFU378" i="1"/>
  <c r="TFT378" i="1"/>
  <c r="TFM378" i="1"/>
  <c r="TFL378" i="1"/>
  <c r="TFE378" i="1"/>
  <c r="TFD378" i="1"/>
  <c r="TEW378" i="1"/>
  <c r="TEV378" i="1"/>
  <c r="TEO378" i="1"/>
  <c r="TEN378" i="1"/>
  <c r="TEG378" i="1"/>
  <c r="TEF378" i="1"/>
  <c r="TDY378" i="1"/>
  <c r="TDX378" i="1"/>
  <c r="TDQ378" i="1"/>
  <c r="TDP378" i="1"/>
  <c r="TDI378" i="1"/>
  <c r="TDH378" i="1"/>
  <c r="TDA378" i="1"/>
  <c r="TCZ378" i="1"/>
  <c r="TCS378" i="1"/>
  <c r="TCR378" i="1"/>
  <c r="TCK378" i="1"/>
  <c r="TCJ378" i="1"/>
  <c r="TCC378" i="1"/>
  <c r="TCB378" i="1"/>
  <c r="TBU378" i="1"/>
  <c r="TBT378" i="1"/>
  <c r="TBM378" i="1"/>
  <c r="TBL378" i="1"/>
  <c r="TBE378" i="1"/>
  <c r="TBD378" i="1"/>
  <c r="TAW378" i="1"/>
  <c r="TAV378" i="1"/>
  <c r="TAO378" i="1"/>
  <c r="TAN378" i="1"/>
  <c r="TAG378" i="1"/>
  <c r="TAF378" i="1"/>
  <c r="SZY378" i="1"/>
  <c r="SZX378" i="1"/>
  <c r="SZQ378" i="1"/>
  <c r="SZP378" i="1"/>
  <c r="SZI378" i="1"/>
  <c r="SZH378" i="1"/>
  <c r="SZA378" i="1"/>
  <c r="SYZ378" i="1"/>
  <c r="SYS378" i="1"/>
  <c r="SYR378" i="1"/>
  <c r="SYK378" i="1"/>
  <c r="SYJ378" i="1"/>
  <c r="SYC378" i="1"/>
  <c r="SYB378" i="1"/>
  <c r="SXU378" i="1"/>
  <c r="SXT378" i="1"/>
  <c r="SXM378" i="1"/>
  <c r="SXL378" i="1"/>
  <c r="SXE378" i="1"/>
  <c r="SXD378" i="1"/>
  <c r="SWW378" i="1"/>
  <c r="SWV378" i="1"/>
  <c r="SWO378" i="1"/>
  <c r="SWN378" i="1"/>
  <c r="SWG378" i="1"/>
  <c r="SWF378" i="1"/>
  <c r="SVY378" i="1"/>
  <c r="SVX378" i="1"/>
  <c r="SVQ378" i="1"/>
  <c r="SVP378" i="1"/>
  <c r="SVI378" i="1"/>
  <c r="SVH378" i="1"/>
  <c r="SVA378" i="1"/>
  <c r="SUZ378" i="1"/>
  <c r="SUS378" i="1"/>
  <c r="SUR378" i="1"/>
  <c r="SUK378" i="1"/>
  <c r="SUJ378" i="1"/>
  <c r="SUC378" i="1"/>
  <c r="SUB378" i="1"/>
  <c r="STU378" i="1"/>
  <c r="STT378" i="1"/>
  <c r="STM378" i="1"/>
  <c r="STL378" i="1"/>
  <c r="STE378" i="1"/>
  <c r="STD378" i="1"/>
  <c r="SSW378" i="1"/>
  <c r="SSV378" i="1"/>
  <c r="SSO378" i="1"/>
  <c r="SSN378" i="1"/>
  <c r="SSG378" i="1"/>
  <c r="SSF378" i="1"/>
  <c r="SRY378" i="1"/>
  <c r="SRX378" i="1"/>
  <c r="SRQ378" i="1"/>
  <c r="SRP378" i="1"/>
  <c r="SRI378" i="1"/>
  <c r="SRH378" i="1"/>
  <c r="SRA378" i="1"/>
  <c r="SQZ378" i="1"/>
  <c r="SQS378" i="1"/>
  <c r="SQR378" i="1"/>
  <c r="SQK378" i="1"/>
  <c r="SQJ378" i="1"/>
  <c r="SQC378" i="1"/>
  <c r="SQB378" i="1"/>
  <c r="SPU378" i="1"/>
  <c r="SPT378" i="1"/>
  <c r="SPM378" i="1"/>
  <c r="SPL378" i="1"/>
  <c r="SPE378" i="1"/>
  <c r="SPD378" i="1"/>
  <c r="SOW378" i="1"/>
  <c r="SOV378" i="1"/>
  <c r="SOO378" i="1"/>
  <c r="SON378" i="1"/>
  <c r="SOG378" i="1"/>
  <c r="SOF378" i="1"/>
  <c r="SNY378" i="1"/>
  <c r="SNX378" i="1"/>
  <c r="SNQ378" i="1"/>
  <c r="SNP378" i="1"/>
  <c r="SNI378" i="1"/>
  <c r="SNH378" i="1"/>
  <c r="SNA378" i="1"/>
  <c r="SMZ378" i="1"/>
  <c r="SMS378" i="1"/>
  <c r="SMR378" i="1"/>
  <c r="SMK378" i="1"/>
  <c r="SMJ378" i="1"/>
  <c r="SMC378" i="1"/>
  <c r="SMB378" i="1"/>
  <c r="SLU378" i="1"/>
  <c r="SLT378" i="1"/>
  <c r="SLM378" i="1"/>
  <c r="SLL378" i="1"/>
  <c r="SLE378" i="1"/>
  <c r="SLD378" i="1"/>
  <c r="SKW378" i="1"/>
  <c r="SKV378" i="1"/>
  <c r="SKO378" i="1"/>
  <c r="SKN378" i="1"/>
  <c r="SKG378" i="1"/>
  <c r="SKF378" i="1"/>
  <c r="SJY378" i="1"/>
  <c r="SJX378" i="1"/>
  <c r="SJQ378" i="1"/>
  <c r="SJP378" i="1"/>
  <c r="SJI378" i="1"/>
  <c r="SJH378" i="1"/>
  <c r="SJA378" i="1"/>
  <c r="SIZ378" i="1"/>
  <c r="SIS378" i="1"/>
  <c r="SIR378" i="1"/>
  <c r="SIK378" i="1"/>
  <c r="SIJ378" i="1"/>
  <c r="SIC378" i="1"/>
  <c r="SIB378" i="1"/>
  <c r="SHU378" i="1"/>
  <c r="SHT378" i="1"/>
  <c r="SHM378" i="1"/>
  <c r="SHL378" i="1"/>
  <c r="SHE378" i="1"/>
  <c r="SHD378" i="1"/>
  <c r="SGW378" i="1"/>
  <c r="SGV378" i="1"/>
  <c r="SGO378" i="1"/>
  <c r="SGN378" i="1"/>
  <c r="SGG378" i="1"/>
  <c r="SGF378" i="1"/>
  <c r="SFY378" i="1"/>
  <c r="SFX378" i="1"/>
  <c r="SFQ378" i="1"/>
  <c r="SFP378" i="1"/>
  <c r="SFI378" i="1"/>
  <c r="SFH378" i="1"/>
  <c r="SFA378" i="1"/>
  <c r="SEZ378" i="1"/>
  <c r="SES378" i="1"/>
  <c r="SER378" i="1"/>
  <c r="SEK378" i="1"/>
  <c r="SEJ378" i="1"/>
  <c r="SEC378" i="1"/>
  <c r="SEB378" i="1"/>
  <c r="SDU378" i="1"/>
  <c r="SDT378" i="1"/>
  <c r="SDM378" i="1"/>
  <c r="SDL378" i="1"/>
  <c r="SDE378" i="1"/>
  <c r="SDD378" i="1"/>
  <c r="SCW378" i="1"/>
  <c r="SCV378" i="1"/>
  <c r="SCO378" i="1"/>
  <c r="SCN378" i="1"/>
  <c r="SCG378" i="1"/>
  <c r="SCF378" i="1"/>
  <c r="SBY378" i="1"/>
  <c r="SBX378" i="1"/>
  <c r="SBQ378" i="1"/>
  <c r="SBP378" i="1"/>
  <c r="SBI378" i="1"/>
  <c r="SBH378" i="1"/>
  <c r="SBA378" i="1"/>
  <c r="SAZ378" i="1"/>
  <c r="SAS378" i="1"/>
  <c r="SAR378" i="1"/>
  <c r="SAK378" i="1"/>
  <c r="SAJ378" i="1"/>
  <c r="SAC378" i="1"/>
  <c r="SAB378" i="1"/>
  <c r="RZU378" i="1"/>
  <c r="RZT378" i="1"/>
  <c r="RZM378" i="1"/>
  <c r="RZL378" i="1"/>
  <c r="RZE378" i="1"/>
  <c r="RZD378" i="1"/>
  <c r="RYW378" i="1"/>
  <c r="RYV378" i="1"/>
  <c r="RYO378" i="1"/>
  <c r="RYN378" i="1"/>
  <c r="RYG378" i="1"/>
  <c r="RYF378" i="1"/>
  <c r="RXY378" i="1"/>
  <c r="RXX378" i="1"/>
  <c r="RXQ378" i="1"/>
  <c r="RXP378" i="1"/>
  <c r="RXI378" i="1"/>
  <c r="RXH378" i="1"/>
  <c r="RXA378" i="1"/>
  <c r="RWZ378" i="1"/>
  <c r="RWS378" i="1"/>
  <c r="RWR378" i="1"/>
  <c r="RWK378" i="1"/>
  <c r="RWJ378" i="1"/>
  <c r="RWC378" i="1"/>
  <c r="RWB378" i="1"/>
  <c r="RVU378" i="1"/>
  <c r="RVT378" i="1"/>
  <c r="RVM378" i="1"/>
  <c r="RVL378" i="1"/>
  <c r="RVE378" i="1"/>
  <c r="RVD378" i="1"/>
  <c r="RUW378" i="1"/>
  <c r="RUV378" i="1"/>
  <c r="RUO378" i="1"/>
  <c r="RUN378" i="1"/>
  <c r="RUG378" i="1"/>
  <c r="RUF378" i="1"/>
  <c r="RTY378" i="1"/>
  <c r="RTX378" i="1"/>
  <c r="RTQ378" i="1"/>
  <c r="RTP378" i="1"/>
  <c r="RTI378" i="1"/>
  <c r="RTH378" i="1"/>
  <c r="RTA378" i="1"/>
  <c r="RSZ378" i="1"/>
  <c r="RSS378" i="1"/>
  <c r="RSR378" i="1"/>
  <c r="RSK378" i="1"/>
  <c r="RSJ378" i="1"/>
  <c r="RSC378" i="1"/>
  <c r="RSB378" i="1"/>
  <c r="RRU378" i="1"/>
  <c r="RRT378" i="1"/>
  <c r="RRM378" i="1"/>
  <c r="RRL378" i="1"/>
  <c r="RRE378" i="1"/>
  <c r="RRD378" i="1"/>
  <c r="RQW378" i="1"/>
  <c r="RQV378" i="1"/>
  <c r="RQO378" i="1"/>
  <c r="RQN378" i="1"/>
  <c r="RQG378" i="1"/>
  <c r="RQF378" i="1"/>
  <c r="RPY378" i="1"/>
  <c r="RPX378" i="1"/>
  <c r="RPQ378" i="1"/>
  <c r="RPP378" i="1"/>
  <c r="RPI378" i="1"/>
  <c r="RPH378" i="1"/>
  <c r="RPA378" i="1"/>
  <c r="ROZ378" i="1"/>
  <c r="ROS378" i="1"/>
  <c r="ROR378" i="1"/>
  <c r="ROK378" i="1"/>
  <c r="ROJ378" i="1"/>
  <c r="ROC378" i="1"/>
  <c r="ROB378" i="1"/>
  <c r="RNU378" i="1"/>
  <c r="RNT378" i="1"/>
  <c r="RNM378" i="1"/>
  <c r="RNL378" i="1"/>
  <c r="RNE378" i="1"/>
  <c r="RND378" i="1"/>
  <c r="RMW378" i="1"/>
  <c r="RMV378" i="1"/>
  <c r="RMO378" i="1"/>
  <c r="RMN378" i="1"/>
  <c r="RMG378" i="1"/>
  <c r="RMF378" i="1"/>
  <c r="RLY378" i="1"/>
  <c r="RLX378" i="1"/>
  <c r="RLQ378" i="1"/>
  <c r="RLP378" i="1"/>
  <c r="RLI378" i="1"/>
  <c r="RLH378" i="1"/>
  <c r="RLA378" i="1"/>
  <c r="RKZ378" i="1"/>
  <c r="RKS378" i="1"/>
  <c r="RKR378" i="1"/>
  <c r="RKK378" i="1"/>
  <c r="RKJ378" i="1"/>
  <c r="RKC378" i="1"/>
  <c r="RKB378" i="1"/>
  <c r="RJU378" i="1"/>
  <c r="RJT378" i="1"/>
  <c r="RJM378" i="1"/>
  <c r="RJL378" i="1"/>
  <c r="RJE378" i="1"/>
  <c r="RJD378" i="1"/>
  <c r="RIW378" i="1"/>
  <c r="RIV378" i="1"/>
  <c r="RIO378" i="1"/>
  <c r="RIN378" i="1"/>
  <c r="RIG378" i="1"/>
  <c r="RIF378" i="1"/>
  <c r="RHY378" i="1"/>
  <c r="RHX378" i="1"/>
  <c r="RHQ378" i="1"/>
  <c r="RHP378" i="1"/>
  <c r="RHI378" i="1"/>
  <c r="RHH378" i="1"/>
  <c r="RHA378" i="1"/>
  <c r="RGZ378" i="1"/>
  <c r="RGS378" i="1"/>
  <c r="RGR378" i="1"/>
  <c r="RGK378" i="1"/>
  <c r="RGJ378" i="1"/>
  <c r="RGC378" i="1"/>
  <c r="RGB378" i="1"/>
  <c r="RFU378" i="1"/>
  <c r="RFT378" i="1"/>
  <c r="RFM378" i="1"/>
  <c r="RFL378" i="1"/>
  <c r="RFE378" i="1"/>
  <c r="RFD378" i="1"/>
  <c r="REW378" i="1"/>
  <c r="REV378" i="1"/>
  <c r="REO378" i="1"/>
  <c r="REN378" i="1"/>
  <c r="REG378" i="1"/>
  <c r="REF378" i="1"/>
  <c r="RDY378" i="1"/>
  <c r="RDX378" i="1"/>
  <c r="RDQ378" i="1"/>
  <c r="RDP378" i="1"/>
  <c r="RDI378" i="1"/>
  <c r="RDH378" i="1"/>
  <c r="RDA378" i="1"/>
  <c r="RCZ378" i="1"/>
  <c r="RCS378" i="1"/>
  <c r="RCR378" i="1"/>
  <c r="RCK378" i="1"/>
  <c r="RCJ378" i="1"/>
  <c r="RCC378" i="1"/>
  <c r="RCB378" i="1"/>
  <c r="RBU378" i="1"/>
  <c r="RBT378" i="1"/>
  <c r="RBM378" i="1"/>
  <c r="RBL378" i="1"/>
  <c r="RBE378" i="1"/>
  <c r="RBD378" i="1"/>
  <c r="RAW378" i="1"/>
  <c r="RAV378" i="1"/>
  <c r="RAO378" i="1"/>
  <c r="RAN378" i="1"/>
  <c r="RAG378" i="1"/>
  <c r="RAF378" i="1"/>
  <c r="QZY378" i="1"/>
  <c r="QZX378" i="1"/>
  <c r="QZQ378" i="1"/>
  <c r="QZP378" i="1"/>
  <c r="QZI378" i="1"/>
  <c r="QZH378" i="1"/>
  <c r="QZA378" i="1"/>
  <c r="QYZ378" i="1"/>
  <c r="QYS378" i="1"/>
  <c r="QYR378" i="1"/>
  <c r="QYK378" i="1"/>
  <c r="QYJ378" i="1"/>
  <c r="QYC378" i="1"/>
  <c r="QYB378" i="1"/>
  <c r="QXU378" i="1"/>
  <c r="QXT378" i="1"/>
  <c r="QXM378" i="1"/>
  <c r="QXL378" i="1"/>
  <c r="QXE378" i="1"/>
  <c r="QXD378" i="1"/>
  <c r="QWW378" i="1"/>
  <c r="QWV378" i="1"/>
  <c r="QWO378" i="1"/>
  <c r="QWN378" i="1"/>
  <c r="QWG378" i="1"/>
  <c r="QWF378" i="1"/>
  <c r="QVY378" i="1"/>
  <c r="QVX378" i="1"/>
  <c r="QVQ378" i="1"/>
  <c r="QVP378" i="1"/>
  <c r="QVI378" i="1"/>
  <c r="QVH378" i="1"/>
  <c r="QVA378" i="1"/>
  <c r="QUZ378" i="1"/>
  <c r="QUS378" i="1"/>
  <c r="QUR378" i="1"/>
  <c r="QUK378" i="1"/>
  <c r="QUJ378" i="1"/>
  <c r="QUC378" i="1"/>
  <c r="QUB378" i="1"/>
  <c r="QTU378" i="1"/>
  <c r="QTT378" i="1"/>
  <c r="QTM378" i="1"/>
  <c r="QTL378" i="1"/>
  <c r="QTE378" i="1"/>
  <c r="QTD378" i="1"/>
  <c r="QSW378" i="1"/>
  <c r="QSV378" i="1"/>
  <c r="QSO378" i="1"/>
  <c r="QSN378" i="1"/>
  <c r="QSG378" i="1"/>
  <c r="QSF378" i="1"/>
  <c r="QRY378" i="1"/>
  <c r="QRX378" i="1"/>
  <c r="QRQ378" i="1"/>
  <c r="QRP378" i="1"/>
  <c r="QRI378" i="1"/>
  <c r="QRH378" i="1"/>
  <c r="QRA378" i="1"/>
  <c r="QQZ378" i="1"/>
  <c r="QQS378" i="1"/>
  <c r="QQR378" i="1"/>
  <c r="QQK378" i="1"/>
  <c r="QQJ378" i="1"/>
  <c r="QQC378" i="1"/>
  <c r="QQB378" i="1"/>
  <c r="QPU378" i="1"/>
  <c r="QPT378" i="1"/>
  <c r="QPM378" i="1"/>
  <c r="QPL378" i="1"/>
  <c r="QPE378" i="1"/>
  <c r="QPD378" i="1"/>
  <c r="QOW378" i="1"/>
  <c r="QOV378" i="1"/>
  <c r="QOO378" i="1"/>
  <c r="QON378" i="1"/>
  <c r="QOG378" i="1"/>
  <c r="QOF378" i="1"/>
  <c r="QNY378" i="1"/>
  <c r="QNX378" i="1"/>
  <c r="QNQ378" i="1"/>
  <c r="QNP378" i="1"/>
  <c r="QNI378" i="1"/>
  <c r="QNH378" i="1"/>
  <c r="QNA378" i="1"/>
  <c r="QMZ378" i="1"/>
  <c r="QMS378" i="1"/>
  <c r="QMR378" i="1"/>
  <c r="QMK378" i="1"/>
  <c r="QMJ378" i="1"/>
  <c r="QMC378" i="1"/>
  <c r="QMB378" i="1"/>
  <c r="QLU378" i="1"/>
  <c r="QLT378" i="1"/>
  <c r="QLM378" i="1"/>
  <c r="QLL378" i="1"/>
  <c r="QLE378" i="1"/>
  <c r="QLD378" i="1"/>
  <c r="QKW378" i="1"/>
  <c r="QKV378" i="1"/>
  <c r="QKO378" i="1"/>
  <c r="QKN378" i="1"/>
  <c r="QKG378" i="1"/>
  <c r="QKF378" i="1"/>
  <c r="QJY378" i="1"/>
  <c r="QJX378" i="1"/>
  <c r="QJQ378" i="1"/>
  <c r="QJP378" i="1"/>
  <c r="QJI378" i="1"/>
  <c r="QJH378" i="1"/>
  <c r="QJA378" i="1"/>
  <c r="QIZ378" i="1"/>
  <c r="QIS378" i="1"/>
  <c r="QIR378" i="1"/>
  <c r="QIK378" i="1"/>
  <c r="QIJ378" i="1"/>
  <c r="QIC378" i="1"/>
  <c r="QIB378" i="1"/>
  <c r="QHU378" i="1"/>
  <c r="QHT378" i="1"/>
  <c r="QHM378" i="1"/>
  <c r="QHL378" i="1"/>
  <c r="QHE378" i="1"/>
  <c r="QHD378" i="1"/>
  <c r="QGW378" i="1"/>
  <c r="QGV378" i="1"/>
  <c r="QGO378" i="1"/>
  <c r="QGN378" i="1"/>
  <c r="QGG378" i="1"/>
  <c r="QGF378" i="1"/>
  <c r="QFY378" i="1"/>
  <c r="QFX378" i="1"/>
  <c r="QFQ378" i="1"/>
  <c r="QFP378" i="1"/>
  <c r="QFI378" i="1"/>
  <c r="QFH378" i="1"/>
  <c r="QFA378" i="1"/>
  <c r="QEZ378" i="1"/>
  <c r="QES378" i="1"/>
  <c r="QER378" i="1"/>
  <c r="QEK378" i="1"/>
  <c r="QEJ378" i="1"/>
  <c r="QEC378" i="1"/>
  <c r="QEB378" i="1"/>
  <c r="QDU378" i="1"/>
  <c r="QDT378" i="1"/>
  <c r="QDM378" i="1"/>
  <c r="QDL378" i="1"/>
  <c r="QDE378" i="1"/>
  <c r="QDD378" i="1"/>
  <c r="QCW378" i="1"/>
  <c r="QCV378" i="1"/>
  <c r="QCO378" i="1"/>
  <c r="QCN378" i="1"/>
  <c r="QCG378" i="1"/>
  <c r="QCF378" i="1"/>
  <c r="QBY378" i="1"/>
  <c r="QBX378" i="1"/>
  <c r="QBQ378" i="1"/>
  <c r="QBP378" i="1"/>
  <c r="QBI378" i="1"/>
  <c r="QBH378" i="1"/>
  <c r="QBA378" i="1"/>
  <c r="QAZ378" i="1"/>
  <c r="QAS378" i="1"/>
  <c r="QAR378" i="1"/>
  <c r="QAK378" i="1"/>
  <c r="QAJ378" i="1"/>
  <c r="QAC378" i="1"/>
  <c r="QAB378" i="1"/>
  <c r="PZU378" i="1"/>
  <c r="PZT378" i="1"/>
  <c r="PZM378" i="1"/>
  <c r="PZL378" i="1"/>
  <c r="PZE378" i="1"/>
  <c r="PZD378" i="1"/>
  <c r="PYW378" i="1"/>
  <c r="PYV378" i="1"/>
  <c r="PYO378" i="1"/>
  <c r="PYN378" i="1"/>
  <c r="PYG378" i="1"/>
  <c r="PYF378" i="1"/>
  <c r="PXY378" i="1"/>
  <c r="PXX378" i="1"/>
  <c r="PXQ378" i="1"/>
  <c r="PXP378" i="1"/>
  <c r="PXI378" i="1"/>
  <c r="PXH378" i="1"/>
  <c r="PXA378" i="1"/>
  <c r="PWZ378" i="1"/>
  <c r="PWS378" i="1"/>
  <c r="PWR378" i="1"/>
  <c r="PWK378" i="1"/>
  <c r="PWJ378" i="1"/>
  <c r="PWC378" i="1"/>
  <c r="PWB378" i="1"/>
  <c r="PVU378" i="1"/>
  <c r="PVT378" i="1"/>
  <c r="PVM378" i="1"/>
  <c r="PVL378" i="1"/>
  <c r="PVE378" i="1"/>
  <c r="PVD378" i="1"/>
  <c r="PUW378" i="1"/>
  <c r="PUV378" i="1"/>
  <c r="PUO378" i="1"/>
  <c r="PUN378" i="1"/>
  <c r="PUG378" i="1"/>
  <c r="PUF378" i="1"/>
  <c r="PTY378" i="1"/>
  <c r="PTX378" i="1"/>
  <c r="PTQ378" i="1"/>
  <c r="PTP378" i="1"/>
  <c r="PTI378" i="1"/>
  <c r="PTH378" i="1"/>
  <c r="PTA378" i="1"/>
  <c r="PSZ378" i="1"/>
  <c r="PSS378" i="1"/>
  <c r="PSR378" i="1"/>
  <c r="PSK378" i="1"/>
  <c r="PSJ378" i="1"/>
  <c r="PSC378" i="1"/>
  <c r="PSB378" i="1"/>
  <c r="PRU378" i="1"/>
  <c r="PRT378" i="1"/>
  <c r="PRM378" i="1"/>
  <c r="PRL378" i="1"/>
  <c r="PRE378" i="1"/>
  <c r="PRD378" i="1"/>
  <c r="PQW378" i="1"/>
  <c r="PQV378" i="1"/>
  <c r="PQO378" i="1"/>
  <c r="PQN378" i="1"/>
  <c r="PQG378" i="1"/>
  <c r="PQF378" i="1"/>
  <c r="PPY378" i="1"/>
  <c r="PPX378" i="1"/>
  <c r="PPQ378" i="1"/>
  <c r="PPP378" i="1"/>
  <c r="PPI378" i="1"/>
  <c r="PPH378" i="1"/>
  <c r="PPA378" i="1"/>
  <c r="POZ378" i="1"/>
  <c r="POS378" i="1"/>
  <c r="POR378" i="1"/>
  <c r="POK378" i="1"/>
  <c r="POJ378" i="1"/>
  <c r="POC378" i="1"/>
  <c r="POB378" i="1"/>
  <c r="PNU378" i="1"/>
  <c r="PNT378" i="1"/>
  <c r="PNM378" i="1"/>
  <c r="PNL378" i="1"/>
  <c r="PNE378" i="1"/>
  <c r="PND378" i="1"/>
  <c r="PMW378" i="1"/>
  <c r="PMV378" i="1"/>
  <c r="PMO378" i="1"/>
  <c r="PMN378" i="1"/>
  <c r="PMG378" i="1"/>
  <c r="PMF378" i="1"/>
  <c r="PLY378" i="1"/>
  <c r="PLX378" i="1"/>
  <c r="PLQ378" i="1"/>
  <c r="PLP378" i="1"/>
  <c r="PLI378" i="1"/>
  <c r="PLH378" i="1"/>
  <c r="PLA378" i="1"/>
  <c r="PKZ378" i="1"/>
  <c r="PKS378" i="1"/>
  <c r="PKR378" i="1"/>
  <c r="PKK378" i="1"/>
  <c r="PKJ378" i="1"/>
  <c r="PKC378" i="1"/>
  <c r="PKB378" i="1"/>
  <c r="PJU378" i="1"/>
  <c r="PJT378" i="1"/>
  <c r="PJM378" i="1"/>
  <c r="PJL378" i="1"/>
  <c r="PJE378" i="1"/>
  <c r="PJD378" i="1"/>
  <c r="PIW378" i="1"/>
  <c r="PIV378" i="1"/>
  <c r="PIO378" i="1"/>
  <c r="PIN378" i="1"/>
  <c r="PIG378" i="1"/>
  <c r="PIF378" i="1"/>
  <c r="PHY378" i="1"/>
  <c r="PHX378" i="1"/>
  <c r="PHQ378" i="1"/>
  <c r="PHP378" i="1"/>
  <c r="PHI378" i="1"/>
  <c r="PHH378" i="1"/>
  <c r="PHA378" i="1"/>
  <c r="PGZ378" i="1"/>
  <c r="PGS378" i="1"/>
  <c r="PGR378" i="1"/>
  <c r="PGK378" i="1"/>
  <c r="PGJ378" i="1"/>
  <c r="PGC378" i="1"/>
  <c r="PGB378" i="1"/>
  <c r="PFU378" i="1"/>
  <c r="PFT378" i="1"/>
  <c r="PFM378" i="1"/>
  <c r="PFL378" i="1"/>
  <c r="PFE378" i="1"/>
  <c r="PFD378" i="1"/>
  <c r="PEW378" i="1"/>
  <c r="PEV378" i="1"/>
  <c r="PEO378" i="1"/>
  <c r="PEN378" i="1"/>
  <c r="PEG378" i="1"/>
  <c r="PEF378" i="1"/>
  <c r="PDY378" i="1"/>
  <c r="PDX378" i="1"/>
  <c r="PDQ378" i="1"/>
  <c r="PDP378" i="1"/>
  <c r="PDI378" i="1"/>
  <c r="PDH378" i="1"/>
  <c r="PDA378" i="1"/>
  <c r="PCZ378" i="1"/>
  <c r="PCS378" i="1"/>
  <c r="PCR378" i="1"/>
  <c r="PCK378" i="1"/>
  <c r="PCJ378" i="1"/>
  <c r="PCC378" i="1"/>
  <c r="PCB378" i="1"/>
  <c r="PBU378" i="1"/>
  <c r="PBT378" i="1"/>
  <c r="PBM378" i="1"/>
  <c r="PBL378" i="1"/>
  <c r="PBE378" i="1"/>
  <c r="PBD378" i="1"/>
  <c r="PAW378" i="1"/>
  <c r="PAV378" i="1"/>
  <c r="PAO378" i="1"/>
  <c r="PAN378" i="1"/>
  <c r="PAG378" i="1"/>
  <c r="PAF378" i="1"/>
  <c r="OZY378" i="1"/>
  <c r="OZX378" i="1"/>
  <c r="OZQ378" i="1"/>
  <c r="OZP378" i="1"/>
  <c r="OZI378" i="1"/>
  <c r="OZH378" i="1"/>
  <c r="OZA378" i="1"/>
  <c r="OYZ378" i="1"/>
  <c r="OYS378" i="1"/>
  <c r="OYR378" i="1"/>
  <c r="OYK378" i="1"/>
  <c r="OYJ378" i="1"/>
  <c r="OYC378" i="1"/>
  <c r="OYB378" i="1"/>
  <c r="OXU378" i="1"/>
  <c r="OXT378" i="1"/>
  <c r="OXM378" i="1"/>
  <c r="OXL378" i="1"/>
  <c r="OXE378" i="1"/>
  <c r="OXD378" i="1"/>
  <c r="OWW378" i="1"/>
  <c r="OWV378" i="1"/>
  <c r="OWO378" i="1"/>
  <c r="OWN378" i="1"/>
  <c r="OWG378" i="1"/>
  <c r="OWF378" i="1"/>
  <c r="OVY378" i="1"/>
  <c r="OVX378" i="1"/>
  <c r="OVQ378" i="1"/>
  <c r="OVP378" i="1"/>
  <c r="OVI378" i="1"/>
  <c r="OVH378" i="1"/>
  <c r="OVA378" i="1"/>
  <c r="OUZ378" i="1"/>
  <c r="OUS378" i="1"/>
  <c r="OUR378" i="1"/>
  <c r="OUK378" i="1"/>
  <c r="OUJ378" i="1"/>
  <c r="OUC378" i="1"/>
  <c r="OUB378" i="1"/>
  <c r="OTU378" i="1"/>
  <c r="OTT378" i="1"/>
  <c r="OTM378" i="1"/>
  <c r="OTL378" i="1"/>
  <c r="OTE378" i="1"/>
  <c r="OTD378" i="1"/>
  <c r="OSW378" i="1"/>
  <c r="OSV378" i="1"/>
  <c r="OSO378" i="1"/>
  <c r="OSN378" i="1"/>
  <c r="OSG378" i="1"/>
  <c r="OSF378" i="1"/>
  <c r="ORY378" i="1"/>
  <c r="ORX378" i="1"/>
  <c r="ORQ378" i="1"/>
  <c r="ORP378" i="1"/>
  <c r="ORI378" i="1"/>
  <c r="ORH378" i="1"/>
  <c r="ORA378" i="1"/>
  <c r="OQZ378" i="1"/>
  <c r="OQS378" i="1"/>
  <c r="OQR378" i="1"/>
  <c r="OQK378" i="1"/>
  <c r="OQJ378" i="1"/>
  <c r="OQC378" i="1"/>
  <c r="OQB378" i="1"/>
  <c r="OPU378" i="1"/>
  <c r="OPT378" i="1"/>
  <c r="OPM378" i="1"/>
  <c r="OPL378" i="1"/>
  <c r="OPE378" i="1"/>
  <c r="OPD378" i="1"/>
  <c r="OOW378" i="1"/>
  <c r="OOV378" i="1"/>
  <c r="OOO378" i="1"/>
  <c r="OON378" i="1"/>
  <c r="OOG378" i="1"/>
  <c r="OOF378" i="1"/>
  <c r="ONY378" i="1"/>
  <c r="ONX378" i="1"/>
  <c r="ONQ378" i="1"/>
  <c r="ONP378" i="1"/>
  <c r="ONI378" i="1"/>
  <c r="ONH378" i="1"/>
  <c r="ONA378" i="1"/>
  <c r="OMZ378" i="1"/>
  <c r="OMS378" i="1"/>
  <c r="OMR378" i="1"/>
  <c r="OMK378" i="1"/>
  <c r="OMJ378" i="1"/>
  <c r="OMC378" i="1"/>
  <c r="OMB378" i="1"/>
  <c r="OLU378" i="1"/>
  <c r="OLT378" i="1"/>
  <c r="OLM378" i="1"/>
  <c r="OLL378" i="1"/>
  <c r="OLE378" i="1"/>
  <c r="OLD378" i="1"/>
  <c r="OKW378" i="1"/>
  <c r="OKV378" i="1"/>
  <c r="OKO378" i="1"/>
  <c r="OKN378" i="1"/>
  <c r="OKG378" i="1"/>
  <c r="OKF378" i="1"/>
  <c r="OJY378" i="1"/>
  <c r="OJX378" i="1"/>
  <c r="OJQ378" i="1"/>
  <c r="OJP378" i="1"/>
  <c r="OJI378" i="1"/>
  <c r="OJH378" i="1"/>
  <c r="OJA378" i="1"/>
  <c r="OIZ378" i="1"/>
  <c r="OIS378" i="1"/>
  <c r="OIR378" i="1"/>
  <c r="OIK378" i="1"/>
  <c r="OIJ378" i="1"/>
  <c r="OIC378" i="1"/>
  <c r="OIB378" i="1"/>
  <c r="OHU378" i="1"/>
  <c r="OHT378" i="1"/>
  <c r="OHM378" i="1"/>
  <c r="OHL378" i="1"/>
  <c r="OHE378" i="1"/>
  <c r="OHD378" i="1"/>
  <c r="OGW378" i="1"/>
  <c r="OGV378" i="1"/>
  <c r="OGO378" i="1"/>
  <c r="OGN378" i="1"/>
  <c r="OGG378" i="1"/>
  <c r="OGF378" i="1"/>
  <c r="OFY378" i="1"/>
  <c r="OFX378" i="1"/>
  <c r="OFQ378" i="1"/>
  <c r="OFP378" i="1"/>
  <c r="OFI378" i="1"/>
  <c r="OFH378" i="1"/>
  <c r="OFA378" i="1"/>
  <c r="OEZ378" i="1"/>
  <c r="OES378" i="1"/>
  <c r="OER378" i="1"/>
  <c r="OEK378" i="1"/>
  <c r="OEJ378" i="1"/>
  <c r="OEC378" i="1"/>
  <c r="OEB378" i="1"/>
  <c r="ODU378" i="1"/>
  <c r="ODT378" i="1"/>
  <c r="ODM378" i="1"/>
  <c r="ODL378" i="1"/>
  <c r="ODE378" i="1"/>
  <c r="ODD378" i="1"/>
  <c r="OCW378" i="1"/>
  <c r="OCV378" i="1"/>
  <c r="OCO378" i="1"/>
  <c r="OCN378" i="1"/>
  <c r="OCG378" i="1"/>
  <c r="OCF378" i="1"/>
  <c r="OBY378" i="1"/>
  <c r="OBX378" i="1"/>
  <c r="OBQ378" i="1"/>
  <c r="OBP378" i="1"/>
  <c r="OBI378" i="1"/>
  <c r="OBH378" i="1"/>
  <c r="OBA378" i="1"/>
  <c r="OAZ378" i="1"/>
  <c r="OAS378" i="1"/>
  <c r="OAR378" i="1"/>
  <c r="OAK378" i="1"/>
  <c r="OAJ378" i="1"/>
  <c r="OAC378" i="1"/>
  <c r="OAB378" i="1"/>
  <c r="NZU378" i="1"/>
  <c r="NZT378" i="1"/>
  <c r="NZM378" i="1"/>
  <c r="NZL378" i="1"/>
  <c r="NZE378" i="1"/>
  <c r="NZD378" i="1"/>
  <c r="NYW378" i="1"/>
  <c r="NYV378" i="1"/>
  <c r="NYO378" i="1"/>
  <c r="NYN378" i="1"/>
  <c r="NYG378" i="1"/>
  <c r="NYF378" i="1"/>
  <c r="NXY378" i="1"/>
  <c r="NXX378" i="1"/>
  <c r="NXQ378" i="1"/>
  <c r="NXP378" i="1"/>
  <c r="NXI378" i="1"/>
  <c r="NXH378" i="1"/>
  <c r="NXA378" i="1"/>
  <c r="NWZ378" i="1"/>
  <c r="NWS378" i="1"/>
  <c r="NWR378" i="1"/>
  <c r="NWK378" i="1"/>
  <c r="NWJ378" i="1"/>
  <c r="NWC378" i="1"/>
  <c r="NWB378" i="1"/>
  <c r="NVU378" i="1"/>
  <c r="NVT378" i="1"/>
  <c r="NVM378" i="1"/>
  <c r="NVL378" i="1"/>
  <c r="NVE378" i="1"/>
  <c r="NVD378" i="1"/>
  <c r="NUW378" i="1"/>
  <c r="NUV378" i="1"/>
  <c r="NUO378" i="1"/>
  <c r="NUN378" i="1"/>
  <c r="NUG378" i="1"/>
  <c r="NUF378" i="1"/>
  <c r="NTY378" i="1"/>
  <c r="NTX378" i="1"/>
  <c r="NTQ378" i="1"/>
  <c r="NTP378" i="1"/>
  <c r="NTI378" i="1"/>
  <c r="NTH378" i="1"/>
  <c r="NTA378" i="1"/>
  <c r="NSZ378" i="1"/>
  <c r="NSS378" i="1"/>
  <c r="NSR378" i="1"/>
  <c r="NSK378" i="1"/>
  <c r="NSJ378" i="1"/>
  <c r="NSC378" i="1"/>
  <c r="NSB378" i="1"/>
  <c r="NRU378" i="1"/>
  <c r="NRT378" i="1"/>
  <c r="NRM378" i="1"/>
  <c r="NRL378" i="1"/>
  <c r="NRE378" i="1"/>
  <c r="NRD378" i="1"/>
  <c r="NQW378" i="1"/>
  <c r="NQV378" i="1"/>
  <c r="NQO378" i="1"/>
  <c r="NQN378" i="1"/>
  <c r="NQG378" i="1"/>
  <c r="NQF378" i="1"/>
  <c r="NPY378" i="1"/>
  <c r="NPX378" i="1"/>
  <c r="NPQ378" i="1"/>
  <c r="NPP378" i="1"/>
  <c r="NPI378" i="1"/>
  <c r="NPH378" i="1"/>
  <c r="NPA378" i="1"/>
  <c r="NOZ378" i="1"/>
  <c r="NOS378" i="1"/>
  <c r="NOR378" i="1"/>
  <c r="NOK378" i="1"/>
  <c r="NOJ378" i="1"/>
  <c r="NOC378" i="1"/>
  <c r="NOB378" i="1"/>
  <c r="NNU378" i="1"/>
  <c r="NNT378" i="1"/>
  <c r="NNM378" i="1"/>
  <c r="NNL378" i="1"/>
  <c r="NNE378" i="1"/>
  <c r="NND378" i="1"/>
  <c r="NMW378" i="1"/>
  <c r="NMV378" i="1"/>
  <c r="NMO378" i="1"/>
  <c r="NMN378" i="1"/>
  <c r="NMG378" i="1"/>
  <c r="NMF378" i="1"/>
  <c r="NLY378" i="1"/>
  <c r="NLX378" i="1"/>
  <c r="NLQ378" i="1"/>
  <c r="NLP378" i="1"/>
  <c r="NLI378" i="1"/>
  <c r="NLH378" i="1"/>
  <c r="NLA378" i="1"/>
  <c r="NKZ378" i="1"/>
  <c r="NKS378" i="1"/>
  <c r="NKR378" i="1"/>
  <c r="NKK378" i="1"/>
  <c r="NKJ378" i="1"/>
  <c r="NKC378" i="1"/>
  <c r="NKB378" i="1"/>
  <c r="NJU378" i="1"/>
  <c r="NJT378" i="1"/>
  <c r="NJM378" i="1"/>
  <c r="NJL378" i="1"/>
  <c r="NJE378" i="1"/>
  <c r="NJD378" i="1"/>
  <c r="NIW378" i="1"/>
  <c r="NIV378" i="1"/>
  <c r="NIO378" i="1"/>
  <c r="NIN378" i="1"/>
  <c r="NIG378" i="1"/>
  <c r="NIF378" i="1"/>
  <c r="NHY378" i="1"/>
  <c r="NHX378" i="1"/>
  <c r="NHQ378" i="1"/>
  <c r="NHP378" i="1"/>
  <c r="NHI378" i="1"/>
  <c r="NHH378" i="1"/>
  <c r="NHA378" i="1"/>
  <c r="NGZ378" i="1"/>
  <c r="NGS378" i="1"/>
  <c r="NGR378" i="1"/>
  <c r="NGK378" i="1"/>
  <c r="NGJ378" i="1"/>
  <c r="NGC378" i="1"/>
  <c r="NGB378" i="1"/>
  <c r="NFU378" i="1"/>
  <c r="NFT378" i="1"/>
  <c r="NFM378" i="1"/>
  <c r="NFL378" i="1"/>
  <c r="NFE378" i="1"/>
  <c r="NFD378" i="1"/>
  <c r="NEW378" i="1"/>
  <c r="NEV378" i="1"/>
  <c r="NEO378" i="1"/>
  <c r="NEN378" i="1"/>
  <c r="NEG378" i="1"/>
  <c r="NEF378" i="1"/>
  <c r="NDY378" i="1"/>
  <c r="NDX378" i="1"/>
  <c r="NDQ378" i="1"/>
  <c r="NDP378" i="1"/>
  <c r="NDI378" i="1"/>
  <c r="NDH378" i="1"/>
  <c r="NDA378" i="1"/>
  <c r="NCZ378" i="1"/>
  <c r="NCS378" i="1"/>
  <c r="NCR378" i="1"/>
  <c r="NCK378" i="1"/>
  <c r="NCJ378" i="1"/>
  <c r="NCC378" i="1"/>
  <c r="NCB378" i="1"/>
  <c r="NBU378" i="1"/>
  <c r="NBT378" i="1"/>
  <c r="NBM378" i="1"/>
  <c r="NBL378" i="1"/>
  <c r="NBE378" i="1"/>
  <c r="NBD378" i="1"/>
  <c r="NAW378" i="1"/>
  <c r="NAV378" i="1"/>
  <c r="NAO378" i="1"/>
  <c r="NAN378" i="1"/>
  <c r="NAG378" i="1"/>
  <c r="NAF378" i="1"/>
  <c r="MZY378" i="1"/>
  <c r="MZX378" i="1"/>
  <c r="MZQ378" i="1"/>
  <c r="MZP378" i="1"/>
  <c r="MZI378" i="1"/>
  <c r="MZH378" i="1"/>
  <c r="MZA378" i="1"/>
  <c r="MYZ378" i="1"/>
  <c r="MYS378" i="1"/>
  <c r="MYR378" i="1"/>
  <c r="MYK378" i="1"/>
  <c r="MYJ378" i="1"/>
  <c r="MYC378" i="1"/>
  <c r="MYB378" i="1"/>
  <c r="MXU378" i="1"/>
  <c r="MXT378" i="1"/>
  <c r="MXM378" i="1"/>
  <c r="MXL378" i="1"/>
  <c r="MXE378" i="1"/>
  <c r="MXD378" i="1"/>
  <c r="MWW378" i="1"/>
  <c r="MWV378" i="1"/>
  <c r="MWO378" i="1"/>
  <c r="MWN378" i="1"/>
  <c r="MWG378" i="1"/>
  <c r="MWF378" i="1"/>
  <c r="MVY378" i="1"/>
  <c r="MVX378" i="1"/>
  <c r="MVQ378" i="1"/>
  <c r="MVP378" i="1"/>
  <c r="MVI378" i="1"/>
  <c r="MVH378" i="1"/>
  <c r="MVA378" i="1"/>
  <c r="MUZ378" i="1"/>
  <c r="MUS378" i="1"/>
  <c r="MUR378" i="1"/>
  <c r="MUK378" i="1"/>
  <c r="MUJ378" i="1"/>
  <c r="MUC378" i="1"/>
  <c r="MUB378" i="1"/>
  <c r="MTU378" i="1"/>
  <c r="MTT378" i="1"/>
  <c r="MTM378" i="1"/>
  <c r="MTL378" i="1"/>
  <c r="MTE378" i="1"/>
  <c r="MTD378" i="1"/>
  <c r="MSW378" i="1"/>
  <c r="MSV378" i="1"/>
  <c r="MSO378" i="1"/>
  <c r="MSN378" i="1"/>
  <c r="MSG378" i="1"/>
  <c r="MSF378" i="1"/>
  <c r="MRY378" i="1"/>
  <c r="MRX378" i="1"/>
  <c r="MRQ378" i="1"/>
  <c r="MRP378" i="1"/>
  <c r="MRI378" i="1"/>
  <c r="MRH378" i="1"/>
  <c r="MRA378" i="1"/>
  <c r="MQZ378" i="1"/>
  <c r="MQS378" i="1"/>
  <c r="MQR378" i="1"/>
  <c r="MQK378" i="1"/>
  <c r="MQJ378" i="1"/>
  <c r="MQC378" i="1"/>
  <c r="MQB378" i="1"/>
  <c r="MPU378" i="1"/>
  <c r="MPT378" i="1"/>
  <c r="MPM378" i="1"/>
  <c r="MPL378" i="1"/>
  <c r="MPE378" i="1"/>
  <c r="MPD378" i="1"/>
  <c r="MOW378" i="1"/>
  <c r="MOV378" i="1"/>
  <c r="MOO378" i="1"/>
  <c r="MON378" i="1"/>
  <c r="MOG378" i="1"/>
  <c r="MOF378" i="1"/>
  <c r="MNY378" i="1"/>
  <c r="MNX378" i="1"/>
  <c r="MNQ378" i="1"/>
  <c r="MNP378" i="1"/>
  <c r="MNI378" i="1"/>
  <c r="MNH378" i="1"/>
  <c r="MNA378" i="1"/>
  <c r="MMZ378" i="1"/>
  <c r="MMS378" i="1"/>
  <c r="MMR378" i="1"/>
  <c r="MMK378" i="1"/>
  <c r="MMJ378" i="1"/>
  <c r="MMC378" i="1"/>
  <c r="MMB378" i="1"/>
  <c r="MLU378" i="1"/>
  <c r="MLT378" i="1"/>
  <c r="MLM378" i="1"/>
  <c r="MLL378" i="1"/>
  <c r="MLE378" i="1"/>
  <c r="MLD378" i="1"/>
  <c r="MKW378" i="1"/>
  <c r="MKV378" i="1"/>
  <c r="MKO378" i="1"/>
  <c r="MKN378" i="1"/>
  <c r="MKG378" i="1"/>
  <c r="MKF378" i="1"/>
  <c r="MJY378" i="1"/>
  <c r="MJX378" i="1"/>
  <c r="MJQ378" i="1"/>
  <c r="MJP378" i="1"/>
  <c r="MJI378" i="1"/>
  <c r="MJH378" i="1"/>
  <c r="MJA378" i="1"/>
  <c r="MIZ378" i="1"/>
  <c r="MIS378" i="1"/>
  <c r="MIR378" i="1"/>
  <c r="MIK378" i="1"/>
  <c r="MIJ378" i="1"/>
  <c r="MIC378" i="1"/>
  <c r="MIB378" i="1"/>
  <c r="MHU378" i="1"/>
  <c r="MHT378" i="1"/>
  <c r="MHM378" i="1"/>
  <c r="MHL378" i="1"/>
  <c r="MHE378" i="1"/>
  <c r="MHD378" i="1"/>
  <c r="MGW378" i="1"/>
  <c r="MGV378" i="1"/>
  <c r="MGO378" i="1"/>
  <c r="MGN378" i="1"/>
  <c r="MGG378" i="1"/>
  <c r="MGF378" i="1"/>
  <c r="MFY378" i="1"/>
  <c r="MFX378" i="1"/>
  <c r="MFQ378" i="1"/>
  <c r="MFP378" i="1"/>
  <c r="MFI378" i="1"/>
  <c r="MFH378" i="1"/>
  <c r="MFA378" i="1"/>
  <c r="MEZ378" i="1"/>
  <c r="MES378" i="1"/>
  <c r="MER378" i="1"/>
  <c r="MEK378" i="1"/>
  <c r="MEJ378" i="1"/>
  <c r="MEC378" i="1"/>
  <c r="MEB378" i="1"/>
  <c r="MDU378" i="1"/>
  <c r="MDT378" i="1"/>
  <c r="MDM378" i="1"/>
  <c r="MDL378" i="1"/>
  <c r="MDE378" i="1"/>
  <c r="MDD378" i="1"/>
  <c r="MCW378" i="1"/>
  <c r="MCV378" i="1"/>
  <c r="MCO378" i="1"/>
  <c r="MCN378" i="1"/>
  <c r="MCG378" i="1"/>
  <c r="MCF378" i="1"/>
  <c r="MBY378" i="1"/>
  <c r="MBX378" i="1"/>
  <c r="MBQ378" i="1"/>
  <c r="MBP378" i="1"/>
  <c r="MBI378" i="1"/>
  <c r="MBH378" i="1"/>
  <c r="MBA378" i="1"/>
  <c r="MAZ378" i="1"/>
  <c r="MAS378" i="1"/>
  <c r="MAR378" i="1"/>
  <c r="MAK378" i="1"/>
  <c r="MAJ378" i="1"/>
  <c r="MAC378" i="1"/>
  <c r="MAB378" i="1"/>
  <c r="LZU378" i="1"/>
  <c r="LZT378" i="1"/>
  <c r="LZM378" i="1"/>
  <c r="LZL378" i="1"/>
  <c r="LZE378" i="1"/>
  <c r="LZD378" i="1"/>
  <c r="LYW378" i="1"/>
  <c r="LYV378" i="1"/>
  <c r="LYO378" i="1"/>
  <c r="LYN378" i="1"/>
  <c r="LYG378" i="1"/>
  <c r="LYF378" i="1"/>
  <c r="LXY378" i="1"/>
  <c r="LXX378" i="1"/>
  <c r="LXQ378" i="1"/>
  <c r="LXP378" i="1"/>
  <c r="LXI378" i="1"/>
  <c r="LXH378" i="1"/>
  <c r="LXA378" i="1"/>
  <c r="LWZ378" i="1"/>
  <c r="LWS378" i="1"/>
  <c r="LWR378" i="1"/>
  <c r="LWK378" i="1"/>
  <c r="LWJ378" i="1"/>
  <c r="LWC378" i="1"/>
  <c r="LWB378" i="1"/>
  <c r="LVU378" i="1"/>
  <c r="LVT378" i="1"/>
  <c r="LVM378" i="1"/>
  <c r="LVL378" i="1"/>
  <c r="LVE378" i="1"/>
  <c r="LVD378" i="1"/>
  <c r="LUW378" i="1"/>
  <c r="LUV378" i="1"/>
  <c r="LUO378" i="1"/>
  <c r="LUN378" i="1"/>
  <c r="LUG378" i="1"/>
  <c r="LUF378" i="1"/>
  <c r="LTY378" i="1"/>
  <c r="LTX378" i="1"/>
  <c r="LTQ378" i="1"/>
  <c r="LTP378" i="1"/>
  <c r="LTI378" i="1"/>
  <c r="LTH378" i="1"/>
  <c r="LTA378" i="1"/>
  <c r="LSZ378" i="1"/>
  <c r="LSS378" i="1"/>
  <c r="LSR378" i="1"/>
  <c r="LSK378" i="1"/>
  <c r="LSJ378" i="1"/>
  <c r="LSC378" i="1"/>
  <c r="LSB378" i="1"/>
  <c r="LRU378" i="1"/>
  <c r="LRT378" i="1"/>
  <c r="LRM378" i="1"/>
  <c r="LRL378" i="1"/>
  <c r="LRE378" i="1"/>
  <c r="LRD378" i="1"/>
  <c r="LQW378" i="1"/>
  <c r="LQV378" i="1"/>
  <c r="LQO378" i="1"/>
  <c r="LQN378" i="1"/>
  <c r="LQG378" i="1"/>
  <c r="LQF378" i="1"/>
  <c r="LPY378" i="1"/>
  <c r="LPX378" i="1"/>
  <c r="LPQ378" i="1"/>
  <c r="LPP378" i="1"/>
  <c r="LPI378" i="1"/>
  <c r="LPH378" i="1"/>
  <c r="LPA378" i="1"/>
  <c r="LOZ378" i="1"/>
  <c r="LOS378" i="1"/>
  <c r="LOR378" i="1"/>
  <c r="LOK378" i="1"/>
  <c r="LOJ378" i="1"/>
  <c r="LOC378" i="1"/>
  <c r="LOB378" i="1"/>
  <c r="LNU378" i="1"/>
  <c r="LNT378" i="1"/>
  <c r="LNM378" i="1"/>
  <c r="LNL378" i="1"/>
  <c r="LNE378" i="1"/>
  <c r="LND378" i="1"/>
  <c r="LMW378" i="1"/>
  <c r="LMV378" i="1"/>
  <c r="LMO378" i="1"/>
  <c r="LMN378" i="1"/>
  <c r="LMG378" i="1"/>
  <c r="LMF378" i="1"/>
  <c r="LLY378" i="1"/>
  <c r="LLX378" i="1"/>
  <c r="LLQ378" i="1"/>
  <c r="LLP378" i="1"/>
  <c r="LLI378" i="1"/>
  <c r="LLH378" i="1"/>
  <c r="LLA378" i="1"/>
  <c r="LKZ378" i="1"/>
  <c r="LKS378" i="1"/>
  <c r="LKR378" i="1"/>
  <c r="LKK378" i="1"/>
  <c r="LKJ378" i="1"/>
  <c r="LKC378" i="1"/>
  <c r="LKB378" i="1"/>
  <c r="LJU378" i="1"/>
  <c r="LJT378" i="1"/>
  <c r="LJM378" i="1"/>
  <c r="LJL378" i="1"/>
  <c r="LJE378" i="1"/>
  <c r="LJD378" i="1"/>
  <c r="LIW378" i="1"/>
  <c r="LIV378" i="1"/>
  <c r="LIO378" i="1"/>
  <c r="LIN378" i="1"/>
  <c r="LIG378" i="1"/>
  <c r="LIF378" i="1"/>
  <c r="LHY378" i="1"/>
  <c r="LHX378" i="1"/>
  <c r="LHQ378" i="1"/>
  <c r="LHP378" i="1"/>
  <c r="LHI378" i="1"/>
  <c r="LHH378" i="1"/>
  <c r="LHA378" i="1"/>
  <c r="LGZ378" i="1"/>
  <c r="LGS378" i="1"/>
  <c r="LGR378" i="1"/>
  <c r="LGK378" i="1"/>
  <c r="LGJ378" i="1"/>
  <c r="LGC378" i="1"/>
  <c r="LGB378" i="1"/>
  <c r="LFU378" i="1"/>
  <c r="LFT378" i="1"/>
  <c r="LFM378" i="1"/>
  <c r="LFL378" i="1"/>
  <c r="LFE378" i="1"/>
  <c r="LFD378" i="1"/>
  <c r="LEW378" i="1"/>
  <c r="LEV378" i="1"/>
  <c r="LEO378" i="1"/>
  <c r="LEN378" i="1"/>
  <c r="LEG378" i="1"/>
  <c r="LEF378" i="1"/>
  <c r="LDY378" i="1"/>
  <c r="LDX378" i="1"/>
  <c r="LDQ378" i="1"/>
  <c r="LDP378" i="1"/>
  <c r="LDI378" i="1"/>
  <c r="LDH378" i="1"/>
  <c r="LDA378" i="1"/>
  <c r="LCZ378" i="1"/>
  <c r="LCS378" i="1"/>
  <c r="LCR378" i="1"/>
  <c r="LCK378" i="1"/>
  <c r="LCJ378" i="1"/>
  <c r="LCC378" i="1"/>
  <c r="LCB378" i="1"/>
  <c r="LBU378" i="1"/>
  <c r="LBT378" i="1"/>
  <c r="LBM378" i="1"/>
  <c r="LBL378" i="1"/>
  <c r="LBE378" i="1"/>
  <c r="LBD378" i="1"/>
  <c r="LAW378" i="1"/>
  <c r="LAV378" i="1"/>
  <c r="LAO378" i="1"/>
  <c r="LAN378" i="1"/>
  <c r="LAG378" i="1"/>
  <c r="LAF378" i="1"/>
  <c r="KZY378" i="1"/>
  <c r="KZX378" i="1"/>
  <c r="KZQ378" i="1"/>
  <c r="KZP378" i="1"/>
  <c r="KZI378" i="1"/>
  <c r="KZH378" i="1"/>
  <c r="KZA378" i="1"/>
  <c r="KYZ378" i="1"/>
  <c r="KYS378" i="1"/>
  <c r="KYR378" i="1"/>
  <c r="KYK378" i="1"/>
  <c r="KYJ378" i="1"/>
  <c r="KYC378" i="1"/>
  <c r="KYB378" i="1"/>
  <c r="KXU378" i="1"/>
  <c r="KXT378" i="1"/>
  <c r="KXM378" i="1"/>
  <c r="KXL378" i="1"/>
  <c r="KXE378" i="1"/>
  <c r="KXD378" i="1"/>
  <c r="KWW378" i="1"/>
  <c r="KWV378" i="1"/>
  <c r="KWO378" i="1"/>
  <c r="KWN378" i="1"/>
  <c r="KWG378" i="1"/>
  <c r="KWF378" i="1"/>
  <c r="KVY378" i="1"/>
  <c r="KVX378" i="1"/>
  <c r="KVQ378" i="1"/>
  <c r="KVP378" i="1"/>
  <c r="KVI378" i="1"/>
  <c r="KVH378" i="1"/>
  <c r="KVA378" i="1"/>
  <c r="KUZ378" i="1"/>
  <c r="KUS378" i="1"/>
  <c r="KUR378" i="1"/>
  <c r="KUK378" i="1"/>
  <c r="KUJ378" i="1"/>
  <c r="KUC378" i="1"/>
  <c r="KUB378" i="1"/>
  <c r="KTU378" i="1"/>
  <c r="KTT378" i="1"/>
  <c r="KTM378" i="1"/>
  <c r="KTL378" i="1"/>
  <c r="KTE378" i="1"/>
  <c r="KTD378" i="1"/>
  <c r="KSW378" i="1"/>
  <c r="KSV378" i="1"/>
  <c r="KSO378" i="1"/>
  <c r="KSN378" i="1"/>
  <c r="KSG378" i="1"/>
  <c r="KSF378" i="1"/>
  <c r="KRY378" i="1"/>
  <c r="KRX378" i="1"/>
  <c r="KRQ378" i="1"/>
  <c r="KRP378" i="1"/>
  <c r="KRI378" i="1"/>
  <c r="KRH378" i="1"/>
  <c r="KRA378" i="1"/>
  <c r="KQZ378" i="1"/>
  <c r="KQS378" i="1"/>
  <c r="KQR378" i="1"/>
  <c r="KQK378" i="1"/>
  <c r="KQJ378" i="1"/>
  <c r="KQC378" i="1"/>
  <c r="KQB378" i="1"/>
  <c r="KPU378" i="1"/>
  <c r="KPT378" i="1"/>
  <c r="KPM378" i="1"/>
  <c r="KPL378" i="1"/>
  <c r="KPE378" i="1"/>
  <c r="KPD378" i="1"/>
  <c r="KOW378" i="1"/>
  <c r="KOV378" i="1"/>
  <c r="KOO378" i="1"/>
  <c r="KON378" i="1"/>
  <c r="KOG378" i="1"/>
  <c r="KOF378" i="1"/>
  <c r="KNY378" i="1"/>
  <c r="KNX378" i="1"/>
  <c r="KNQ378" i="1"/>
  <c r="KNP378" i="1"/>
  <c r="KNI378" i="1"/>
  <c r="KNH378" i="1"/>
  <c r="KNA378" i="1"/>
  <c r="KMZ378" i="1"/>
  <c r="KMS378" i="1"/>
  <c r="KMR378" i="1"/>
  <c r="KMK378" i="1"/>
  <c r="KMJ378" i="1"/>
  <c r="KMC378" i="1"/>
  <c r="KMB378" i="1"/>
  <c r="KLU378" i="1"/>
  <c r="KLT378" i="1"/>
  <c r="KLM378" i="1"/>
  <c r="KLL378" i="1"/>
  <c r="KLE378" i="1"/>
  <c r="KLD378" i="1"/>
  <c r="KKW378" i="1"/>
  <c r="KKV378" i="1"/>
  <c r="KKO378" i="1"/>
  <c r="KKN378" i="1"/>
  <c r="KKG378" i="1"/>
  <c r="KKF378" i="1"/>
  <c r="KJY378" i="1"/>
  <c r="KJX378" i="1"/>
  <c r="KJQ378" i="1"/>
  <c r="KJP378" i="1"/>
  <c r="KJI378" i="1"/>
  <c r="KJH378" i="1"/>
  <c r="KJA378" i="1"/>
  <c r="KIZ378" i="1"/>
  <c r="KIS378" i="1"/>
  <c r="KIR378" i="1"/>
  <c r="KIK378" i="1"/>
  <c r="KIJ378" i="1"/>
  <c r="KIC378" i="1"/>
  <c r="KIB378" i="1"/>
  <c r="KHU378" i="1"/>
  <c r="KHT378" i="1"/>
  <c r="KHM378" i="1"/>
  <c r="KHL378" i="1"/>
  <c r="KHE378" i="1"/>
  <c r="KHD378" i="1"/>
  <c r="KGW378" i="1"/>
  <c r="KGV378" i="1"/>
  <c r="KGO378" i="1"/>
  <c r="KGN378" i="1"/>
  <c r="KGG378" i="1"/>
  <c r="KGF378" i="1"/>
  <c r="KFY378" i="1"/>
  <c r="KFX378" i="1"/>
  <c r="KFQ378" i="1"/>
  <c r="KFP378" i="1"/>
  <c r="KFI378" i="1"/>
  <c r="KFH378" i="1"/>
  <c r="KFA378" i="1"/>
  <c r="KEZ378" i="1"/>
  <c r="KES378" i="1"/>
  <c r="KER378" i="1"/>
  <c r="KEK378" i="1"/>
  <c r="KEJ378" i="1"/>
  <c r="KEC378" i="1"/>
  <c r="KEB378" i="1"/>
  <c r="KDU378" i="1"/>
  <c r="KDT378" i="1"/>
  <c r="KDM378" i="1"/>
  <c r="KDL378" i="1"/>
  <c r="KDE378" i="1"/>
  <c r="KDD378" i="1"/>
  <c r="KCW378" i="1"/>
  <c r="KCV378" i="1"/>
  <c r="KCO378" i="1"/>
  <c r="KCN378" i="1"/>
  <c r="KCG378" i="1"/>
  <c r="KCF378" i="1"/>
  <c r="KBY378" i="1"/>
  <c r="KBX378" i="1"/>
  <c r="KBQ378" i="1"/>
  <c r="KBP378" i="1"/>
  <c r="KBI378" i="1"/>
  <c r="KBH378" i="1"/>
  <c r="KBA378" i="1"/>
  <c r="KAZ378" i="1"/>
  <c r="KAS378" i="1"/>
  <c r="KAR378" i="1"/>
  <c r="KAK378" i="1"/>
  <c r="KAJ378" i="1"/>
  <c r="KAC378" i="1"/>
  <c r="KAB378" i="1"/>
  <c r="JZU378" i="1"/>
  <c r="JZT378" i="1"/>
  <c r="JZM378" i="1"/>
  <c r="JZL378" i="1"/>
  <c r="JZE378" i="1"/>
  <c r="JZD378" i="1"/>
  <c r="JYW378" i="1"/>
  <c r="JYV378" i="1"/>
  <c r="JYO378" i="1"/>
  <c r="JYN378" i="1"/>
  <c r="JYG378" i="1"/>
  <c r="JYF378" i="1"/>
  <c r="JXY378" i="1"/>
  <c r="JXX378" i="1"/>
  <c r="JXQ378" i="1"/>
  <c r="JXP378" i="1"/>
  <c r="JXI378" i="1"/>
  <c r="JXH378" i="1"/>
  <c r="JXA378" i="1"/>
  <c r="JWZ378" i="1"/>
  <c r="JWS378" i="1"/>
  <c r="JWR378" i="1"/>
  <c r="JWK378" i="1"/>
  <c r="JWJ378" i="1"/>
  <c r="JWC378" i="1"/>
  <c r="JWB378" i="1"/>
  <c r="JVU378" i="1"/>
  <c r="JVT378" i="1"/>
  <c r="JVM378" i="1"/>
  <c r="JVL378" i="1"/>
  <c r="JVE378" i="1"/>
  <c r="JVD378" i="1"/>
  <c r="JUW378" i="1"/>
  <c r="JUV378" i="1"/>
  <c r="JUO378" i="1"/>
  <c r="JUN378" i="1"/>
  <c r="JUG378" i="1"/>
  <c r="JUF378" i="1"/>
  <c r="JTY378" i="1"/>
  <c r="JTX378" i="1"/>
  <c r="JTQ378" i="1"/>
  <c r="JTP378" i="1"/>
  <c r="JTI378" i="1"/>
  <c r="JTH378" i="1"/>
  <c r="JTA378" i="1"/>
  <c r="JSZ378" i="1"/>
  <c r="JSS378" i="1"/>
  <c r="JSR378" i="1"/>
  <c r="JSK378" i="1"/>
  <c r="JSJ378" i="1"/>
  <c r="JSC378" i="1"/>
  <c r="JSB378" i="1"/>
  <c r="JRU378" i="1"/>
  <c r="JRT378" i="1"/>
  <c r="JRM378" i="1"/>
  <c r="JRL378" i="1"/>
  <c r="JRE378" i="1"/>
  <c r="JRD378" i="1"/>
  <c r="JQW378" i="1"/>
  <c r="JQV378" i="1"/>
  <c r="JQO378" i="1"/>
  <c r="JQN378" i="1"/>
  <c r="JQG378" i="1"/>
  <c r="JQF378" i="1"/>
  <c r="JPY378" i="1"/>
  <c r="JPX378" i="1"/>
  <c r="JPQ378" i="1"/>
  <c r="JPP378" i="1"/>
  <c r="JPI378" i="1"/>
  <c r="JPH378" i="1"/>
  <c r="JPA378" i="1"/>
  <c r="JOZ378" i="1"/>
  <c r="JOS378" i="1"/>
  <c r="JOR378" i="1"/>
  <c r="JOK378" i="1"/>
  <c r="JOJ378" i="1"/>
  <c r="JOC378" i="1"/>
  <c r="JOB378" i="1"/>
  <c r="JNU378" i="1"/>
  <c r="JNT378" i="1"/>
  <c r="JNM378" i="1"/>
  <c r="JNL378" i="1"/>
  <c r="JNE378" i="1"/>
  <c r="JND378" i="1"/>
  <c r="JMW378" i="1"/>
  <c r="JMV378" i="1"/>
  <c r="JMO378" i="1"/>
  <c r="JMN378" i="1"/>
  <c r="JMG378" i="1"/>
  <c r="JMF378" i="1"/>
  <c r="JLY378" i="1"/>
  <c r="JLX378" i="1"/>
  <c r="JLQ378" i="1"/>
  <c r="JLP378" i="1"/>
  <c r="JLI378" i="1"/>
  <c r="JLH378" i="1"/>
  <c r="JLA378" i="1"/>
  <c r="JKZ378" i="1"/>
  <c r="JKS378" i="1"/>
  <c r="JKR378" i="1"/>
  <c r="JKK378" i="1"/>
  <c r="JKJ378" i="1"/>
  <c r="JKC378" i="1"/>
  <c r="JKB378" i="1"/>
  <c r="JJU378" i="1"/>
  <c r="JJT378" i="1"/>
  <c r="JJM378" i="1"/>
  <c r="JJL378" i="1"/>
  <c r="JJE378" i="1"/>
  <c r="JJD378" i="1"/>
  <c r="JIW378" i="1"/>
  <c r="JIV378" i="1"/>
  <c r="JIO378" i="1"/>
  <c r="JIN378" i="1"/>
  <c r="JIG378" i="1"/>
  <c r="JIF378" i="1"/>
  <c r="JHY378" i="1"/>
  <c r="JHX378" i="1"/>
  <c r="JHQ378" i="1"/>
  <c r="JHP378" i="1"/>
  <c r="JHI378" i="1"/>
  <c r="JHH378" i="1"/>
  <c r="JHA378" i="1"/>
  <c r="JGZ378" i="1"/>
  <c r="JGS378" i="1"/>
  <c r="JGR378" i="1"/>
  <c r="JGK378" i="1"/>
  <c r="JGJ378" i="1"/>
  <c r="JGC378" i="1"/>
  <c r="JGB378" i="1"/>
  <c r="JFU378" i="1"/>
  <c r="JFT378" i="1"/>
  <c r="JFM378" i="1"/>
  <c r="JFL378" i="1"/>
  <c r="JFE378" i="1"/>
  <c r="JFD378" i="1"/>
  <c r="JEW378" i="1"/>
  <c r="JEV378" i="1"/>
  <c r="JEO378" i="1"/>
  <c r="JEN378" i="1"/>
  <c r="JEG378" i="1"/>
  <c r="JEF378" i="1"/>
  <c r="JDY378" i="1"/>
  <c r="JDX378" i="1"/>
  <c r="JDQ378" i="1"/>
  <c r="JDP378" i="1"/>
  <c r="JDI378" i="1"/>
  <c r="JDH378" i="1"/>
  <c r="JDA378" i="1"/>
  <c r="JCZ378" i="1"/>
  <c r="JCS378" i="1"/>
  <c r="JCR378" i="1"/>
  <c r="JCK378" i="1"/>
  <c r="JCJ378" i="1"/>
  <c r="JCC378" i="1"/>
  <c r="JCB378" i="1"/>
  <c r="JBU378" i="1"/>
  <c r="JBT378" i="1"/>
  <c r="JBM378" i="1"/>
  <c r="JBL378" i="1"/>
  <c r="JBE378" i="1"/>
  <c r="JBD378" i="1"/>
  <c r="JAW378" i="1"/>
  <c r="JAV378" i="1"/>
  <c r="JAO378" i="1"/>
  <c r="JAN378" i="1"/>
  <c r="JAG378" i="1"/>
  <c r="JAF378" i="1"/>
  <c r="IZY378" i="1"/>
  <c r="IZX378" i="1"/>
  <c r="IZQ378" i="1"/>
  <c r="IZP378" i="1"/>
  <c r="IZI378" i="1"/>
  <c r="IZH378" i="1"/>
  <c r="IZA378" i="1"/>
  <c r="IYZ378" i="1"/>
  <c r="IYS378" i="1"/>
  <c r="IYR378" i="1"/>
  <c r="IYK378" i="1"/>
  <c r="IYJ378" i="1"/>
  <c r="IYC378" i="1"/>
  <c r="IYB378" i="1"/>
  <c r="IXU378" i="1"/>
  <c r="IXT378" i="1"/>
  <c r="IXM378" i="1"/>
  <c r="IXL378" i="1"/>
  <c r="IXE378" i="1"/>
  <c r="IXD378" i="1"/>
  <c r="IWW378" i="1"/>
  <c r="IWV378" i="1"/>
  <c r="IWO378" i="1"/>
  <c r="IWN378" i="1"/>
  <c r="IWG378" i="1"/>
  <c r="IWF378" i="1"/>
  <c r="IVY378" i="1"/>
  <c r="IVX378" i="1"/>
  <c r="IVQ378" i="1"/>
  <c r="IVP378" i="1"/>
  <c r="IVI378" i="1"/>
  <c r="IVH378" i="1"/>
  <c r="IVA378" i="1"/>
  <c r="IUZ378" i="1"/>
  <c r="IUS378" i="1"/>
  <c r="IUR378" i="1"/>
  <c r="IUK378" i="1"/>
  <c r="IUJ378" i="1"/>
  <c r="IUC378" i="1"/>
  <c r="IUB378" i="1"/>
  <c r="ITU378" i="1"/>
  <c r="ITT378" i="1"/>
  <c r="ITM378" i="1"/>
  <c r="ITL378" i="1"/>
  <c r="ITE378" i="1"/>
  <c r="ITD378" i="1"/>
  <c r="ISW378" i="1"/>
  <c r="ISV378" i="1"/>
  <c r="ISO378" i="1"/>
  <c r="ISN378" i="1"/>
  <c r="ISG378" i="1"/>
  <c r="ISF378" i="1"/>
  <c r="IRY378" i="1"/>
  <c r="IRX378" i="1"/>
  <c r="IRQ378" i="1"/>
  <c r="IRP378" i="1"/>
  <c r="IRI378" i="1"/>
  <c r="IRH378" i="1"/>
  <c r="IRA378" i="1"/>
  <c r="IQZ378" i="1"/>
  <c r="IQS378" i="1"/>
  <c r="IQR378" i="1"/>
  <c r="IQK378" i="1"/>
  <c r="IQJ378" i="1"/>
  <c r="IQC378" i="1"/>
  <c r="IQB378" i="1"/>
  <c r="IPU378" i="1"/>
  <c r="IPT378" i="1"/>
  <c r="IPM378" i="1"/>
  <c r="IPL378" i="1"/>
  <c r="IPE378" i="1"/>
  <c r="IPD378" i="1"/>
  <c r="IOW378" i="1"/>
  <c r="IOV378" i="1"/>
  <c r="IOO378" i="1"/>
  <c r="ION378" i="1"/>
  <c r="IOG378" i="1"/>
  <c r="IOF378" i="1"/>
  <c r="INY378" i="1"/>
  <c r="INX378" i="1"/>
  <c r="INQ378" i="1"/>
  <c r="INP378" i="1"/>
  <c r="INI378" i="1"/>
  <c r="INH378" i="1"/>
  <c r="INA378" i="1"/>
  <c r="IMZ378" i="1"/>
  <c r="IMS378" i="1"/>
  <c r="IMR378" i="1"/>
  <c r="IMK378" i="1"/>
  <c r="IMJ378" i="1"/>
  <c r="IMC378" i="1"/>
  <c r="IMB378" i="1"/>
  <c r="ILU378" i="1"/>
  <c r="ILT378" i="1"/>
  <c r="ILM378" i="1"/>
  <c r="ILL378" i="1"/>
  <c r="ILE378" i="1"/>
  <c r="ILD378" i="1"/>
  <c r="IKW378" i="1"/>
  <c r="IKV378" i="1"/>
  <c r="IKO378" i="1"/>
  <c r="IKN378" i="1"/>
  <c r="IKG378" i="1"/>
  <c r="IKF378" i="1"/>
  <c r="IJY378" i="1"/>
  <c r="IJX378" i="1"/>
  <c r="IJQ378" i="1"/>
  <c r="IJP378" i="1"/>
  <c r="IJI378" i="1"/>
  <c r="IJH378" i="1"/>
  <c r="IJA378" i="1"/>
  <c r="IIZ378" i="1"/>
  <c r="IIS378" i="1"/>
  <c r="IIR378" i="1"/>
  <c r="IIK378" i="1"/>
  <c r="IIJ378" i="1"/>
  <c r="IIC378" i="1"/>
  <c r="IIB378" i="1"/>
  <c r="IHU378" i="1"/>
  <c r="IHT378" i="1"/>
  <c r="IHM378" i="1"/>
  <c r="IHL378" i="1"/>
  <c r="IHE378" i="1"/>
  <c r="IHD378" i="1"/>
  <c r="IGW378" i="1"/>
  <c r="IGV378" i="1"/>
  <c r="IGO378" i="1"/>
  <c r="IGN378" i="1"/>
  <c r="IGG378" i="1"/>
  <c r="IGF378" i="1"/>
  <c r="IFY378" i="1"/>
  <c r="IFX378" i="1"/>
  <c r="IFQ378" i="1"/>
  <c r="IFP378" i="1"/>
  <c r="IFI378" i="1"/>
  <c r="IFH378" i="1"/>
  <c r="IFA378" i="1"/>
  <c r="IEZ378" i="1"/>
  <c r="IES378" i="1"/>
  <c r="IER378" i="1"/>
  <c r="IEK378" i="1"/>
  <c r="IEJ378" i="1"/>
  <c r="IEC378" i="1"/>
  <c r="IEB378" i="1"/>
  <c r="IDU378" i="1"/>
  <c r="IDT378" i="1"/>
  <c r="IDM378" i="1"/>
  <c r="IDL378" i="1"/>
  <c r="IDE378" i="1"/>
  <c r="IDD378" i="1"/>
  <c r="ICW378" i="1"/>
  <c r="ICV378" i="1"/>
  <c r="ICO378" i="1"/>
  <c r="ICN378" i="1"/>
  <c r="ICG378" i="1"/>
  <c r="ICF378" i="1"/>
  <c r="IBY378" i="1"/>
  <c r="IBX378" i="1"/>
  <c r="IBQ378" i="1"/>
  <c r="IBP378" i="1"/>
  <c r="IBI378" i="1"/>
  <c r="IBH378" i="1"/>
  <c r="IBA378" i="1"/>
  <c r="IAZ378" i="1"/>
  <c r="IAS378" i="1"/>
  <c r="IAR378" i="1"/>
  <c r="IAK378" i="1"/>
  <c r="IAJ378" i="1"/>
  <c r="IAC378" i="1"/>
  <c r="IAB378" i="1"/>
  <c r="HZU378" i="1"/>
  <c r="HZT378" i="1"/>
  <c r="HZM378" i="1"/>
  <c r="HZL378" i="1"/>
  <c r="HZE378" i="1"/>
  <c r="HZD378" i="1"/>
  <c r="HYW378" i="1"/>
  <c r="HYV378" i="1"/>
  <c r="HYO378" i="1"/>
  <c r="HYN378" i="1"/>
  <c r="HYG378" i="1"/>
  <c r="HYF378" i="1"/>
  <c r="HXY378" i="1"/>
  <c r="HXX378" i="1"/>
  <c r="HXQ378" i="1"/>
  <c r="HXP378" i="1"/>
  <c r="HXI378" i="1"/>
  <c r="HXH378" i="1"/>
  <c r="HXA378" i="1"/>
  <c r="HWZ378" i="1"/>
  <c r="HWS378" i="1"/>
  <c r="HWR378" i="1"/>
  <c r="HWK378" i="1"/>
  <c r="HWJ378" i="1"/>
  <c r="HWC378" i="1"/>
  <c r="HWB378" i="1"/>
  <c r="HVU378" i="1"/>
  <c r="HVT378" i="1"/>
  <c r="HVM378" i="1"/>
  <c r="HVL378" i="1"/>
  <c r="HVE378" i="1"/>
  <c r="HVD378" i="1"/>
  <c r="HUW378" i="1"/>
  <c r="HUV378" i="1"/>
  <c r="HUO378" i="1"/>
  <c r="HUN378" i="1"/>
  <c r="HUG378" i="1"/>
  <c r="HUF378" i="1"/>
  <c r="HTY378" i="1"/>
  <c r="HTX378" i="1"/>
  <c r="HTQ378" i="1"/>
  <c r="HTP378" i="1"/>
  <c r="HTI378" i="1"/>
  <c r="HTH378" i="1"/>
  <c r="HTA378" i="1"/>
  <c r="HSZ378" i="1"/>
  <c r="HSS378" i="1"/>
  <c r="HSR378" i="1"/>
  <c r="HSK378" i="1"/>
  <c r="HSJ378" i="1"/>
  <c r="HSC378" i="1"/>
  <c r="HSB378" i="1"/>
  <c r="HRU378" i="1"/>
  <c r="HRT378" i="1"/>
  <c r="HRM378" i="1"/>
  <c r="HRL378" i="1"/>
  <c r="HRE378" i="1"/>
  <c r="HRD378" i="1"/>
  <c r="HQW378" i="1"/>
  <c r="HQV378" i="1"/>
  <c r="HQO378" i="1"/>
  <c r="HQN378" i="1"/>
  <c r="HQG378" i="1"/>
  <c r="HQF378" i="1"/>
  <c r="HPY378" i="1"/>
  <c r="HPX378" i="1"/>
  <c r="HPQ378" i="1"/>
  <c r="HPP378" i="1"/>
  <c r="HPI378" i="1"/>
  <c r="HPH378" i="1"/>
  <c r="HPA378" i="1"/>
  <c r="HOZ378" i="1"/>
  <c r="HOS378" i="1"/>
  <c r="HOR378" i="1"/>
  <c r="HOK378" i="1"/>
  <c r="HOJ378" i="1"/>
  <c r="HOC378" i="1"/>
  <c r="HOB378" i="1"/>
  <c r="HNU378" i="1"/>
  <c r="HNT378" i="1"/>
  <c r="HNM378" i="1"/>
  <c r="HNL378" i="1"/>
  <c r="HNE378" i="1"/>
  <c r="HND378" i="1"/>
  <c r="HMW378" i="1"/>
  <c r="HMV378" i="1"/>
  <c r="HMO378" i="1"/>
  <c r="HMN378" i="1"/>
  <c r="HMG378" i="1"/>
  <c r="HMF378" i="1"/>
  <c r="HLY378" i="1"/>
  <c r="HLX378" i="1"/>
  <c r="HLQ378" i="1"/>
  <c r="HLP378" i="1"/>
  <c r="HLI378" i="1"/>
  <c r="HLH378" i="1"/>
  <c r="HLA378" i="1"/>
  <c r="HKZ378" i="1"/>
  <c r="HKS378" i="1"/>
  <c r="HKR378" i="1"/>
  <c r="HKK378" i="1"/>
  <c r="HKJ378" i="1"/>
  <c r="HKC378" i="1"/>
  <c r="HKB378" i="1"/>
  <c r="HJU378" i="1"/>
  <c r="HJT378" i="1"/>
  <c r="HJM378" i="1"/>
  <c r="HJL378" i="1"/>
  <c r="HJE378" i="1"/>
  <c r="HJD378" i="1"/>
  <c r="HIW378" i="1"/>
  <c r="HIV378" i="1"/>
  <c r="HIO378" i="1"/>
  <c r="HIN378" i="1"/>
  <c r="HIG378" i="1"/>
  <c r="HIF378" i="1"/>
  <c r="HHY378" i="1"/>
  <c r="HHX378" i="1"/>
  <c r="HHQ378" i="1"/>
  <c r="HHP378" i="1"/>
  <c r="HHI378" i="1"/>
  <c r="HHH378" i="1"/>
  <c r="HHA378" i="1"/>
  <c r="HGZ378" i="1"/>
  <c r="HGS378" i="1"/>
  <c r="HGR378" i="1"/>
  <c r="HGK378" i="1"/>
  <c r="HGJ378" i="1"/>
  <c r="HGC378" i="1"/>
  <c r="HGB378" i="1"/>
  <c r="HFU378" i="1"/>
  <c r="HFT378" i="1"/>
  <c r="HFM378" i="1"/>
  <c r="HFL378" i="1"/>
  <c r="HFE378" i="1"/>
  <c r="HFD378" i="1"/>
  <c r="HEW378" i="1"/>
  <c r="HEV378" i="1"/>
  <c r="HEO378" i="1"/>
  <c r="HEN378" i="1"/>
  <c r="HEG378" i="1"/>
  <c r="HEF378" i="1"/>
  <c r="HDY378" i="1"/>
  <c r="HDX378" i="1"/>
  <c r="HDQ378" i="1"/>
  <c r="HDP378" i="1"/>
  <c r="HDI378" i="1"/>
  <c r="HDH378" i="1"/>
  <c r="HDA378" i="1"/>
  <c r="HCZ378" i="1"/>
  <c r="HCS378" i="1"/>
  <c r="HCR378" i="1"/>
  <c r="HCK378" i="1"/>
  <c r="HCJ378" i="1"/>
  <c r="HCC378" i="1"/>
  <c r="HCB378" i="1"/>
  <c r="HBU378" i="1"/>
  <c r="HBT378" i="1"/>
  <c r="HBM378" i="1"/>
  <c r="HBL378" i="1"/>
  <c r="HBE378" i="1"/>
  <c r="HBD378" i="1"/>
  <c r="HAW378" i="1"/>
  <c r="HAV378" i="1"/>
  <c r="HAO378" i="1"/>
  <c r="HAN378" i="1"/>
  <c r="HAG378" i="1"/>
  <c r="HAF378" i="1"/>
  <c r="GZY378" i="1"/>
  <c r="GZX378" i="1"/>
  <c r="GZQ378" i="1"/>
  <c r="GZP378" i="1"/>
  <c r="GZI378" i="1"/>
  <c r="GZH378" i="1"/>
  <c r="GZA378" i="1"/>
  <c r="GYZ378" i="1"/>
  <c r="GYS378" i="1"/>
  <c r="GYR378" i="1"/>
  <c r="GYK378" i="1"/>
  <c r="GYJ378" i="1"/>
  <c r="GYC378" i="1"/>
  <c r="GYB378" i="1"/>
  <c r="GXU378" i="1"/>
  <c r="GXT378" i="1"/>
  <c r="GXM378" i="1"/>
  <c r="GXL378" i="1"/>
  <c r="GXE378" i="1"/>
  <c r="GXD378" i="1"/>
  <c r="GWW378" i="1"/>
  <c r="GWV378" i="1"/>
  <c r="GWO378" i="1"/>
  <c r="GWN378" i="1"/>
  <c r="GWG378" i="1"/>
  <c r="GWF378" i="1"/>
  <c r="GVY378" i="1"/>
  <c r="GVX378" i="1"/>
  <c r="GVQ378" i="1"/>
  <c r="GVP378" i="1"/>
  <c r="GVI378" i="1"/>
  <c r="GVH378" i="1"/>
  <c r="GVA378" i="1"/>
  <c r="GUZ378" i="1"/>
  <c r="GUS378" i="1"/>
  <c r="GUR378" i="1"/>
  <c r="GUK378" i="1"/>
  <c r="GUJ378" i="1"/>
  <c r="GUC378" i="1"/>
  <c r="GUB378" i="1"/>
  <c r="GTU378" i="1"/>
  <c r="GTT378" i="1"/>
  <c r="GTM378" i="1"/>
  <c r="GTL378" i="1"/>
  <c r="GTE378" i="1"/>
  <c r="GTD378" i="1"/>
  <c r="GSW378" i="1"/>
  <c r="GSV378" i="1"/>
  <c r="GSO378" i="1"/>
  <c r="GSN378" i="1"/>
  <c r="GSG378" i="1"/>
  <c r="GSF378" i="1"/>
  <c r="GRY378" i="1"/>
  <c r="GRX378" i="1"/>
  <c r="GRQ378" i="1"/>
  <c r="GRP378" i="1"/>
  <c r="GRI378" i="1"/>
  <c r="GRH378" i="1"/>
  <c r="GRA378" i="1"/>
  <c r="GQZ378" i="1"/>
  <c r="GQS378" i="1"/>
  <c r="GQR378" i="1"/>
  <c r="GQK378" i="1"/>
  <c r="GQJ378" i="1"/>
  <c r="GQC378" i="1"/>
  <c r="GQB378" i="1"/>
  <c r="GPU378" i="1"/>
  <c r="GPT378" i="1"/>
  <c r="GPM378" i="1"/>
  <c r="GPL378" i="1"/>
  <c r="GPE378" i="1"/>
  <c r="GPD378" i="1"/>
  <c r="GOW378" i="1"/>
  <c r="GOV378" i="1"/>
  <c r="GOO378" i="1"/>
  <c r="GON378" i="1"/>
  <c r="GOG378" i="1"/>
  <c r="GOF378" i="1"/>
  <c r="GNY378" i="1"/>
  <c r="GNX378" i="1"/>
  <c r="GNQ378" i="1"/>
  <c r="GNP378" i="1"/>
  <c r="GNI378" i="1"/>
  <c r="GNH378" i="1"/>
  <c r="GNA378" i="1"/>
  <c r="GMZ378" i="1"/>
  <c r="GMS378" i="1"/>
  <c r="GMR378" i="1"/>
  <c r="GMK378" i="1"/>
  <c r="GMJ378" i="1"/>
  <c r="GMC378" i="1"/>
  <c r="GMB378" i="1"/>
  <c r="GLU378" i="1"/>
  <c r="GLT378" i="1"/>
  <c r="GLM378" i="1"/>
  <c r="GLL378" i="1"/>
  <c r="GLE378" i="1"/>
  <c r="GLD378" i="1"/>
  <c r="GKW378" i="1"/>
  <c r="GKV378" i="1"/>
  <c r="GKO378" i="1"/>
  <c r="GKN378" i="1"/>
  <c r="GKG378" i="1"/>
  <c r="GKF378" i="1"/>
  <c r="GJY378" i="1"/>
  <c r="GJX378" i="1"/>
  <c r="GJQ378" i="1"/>
  <c r="GJP378" i="1"/>
  <c r="GJI378" i="1"/>
  <c r="GJH378" i="1"/>
  <c r="GJA378" i="1"/>
  <c r="GIZ378" i="1"/>
  <c r="GIS378" i="1"/>
  <c r="GIR378" i="1"/>
  <c r="GIK378" i="1"/>
  <c r="GIJ378" i="1"/>
  <c r="GIC378" i="1"/>
  <c r="GIB378" i="1"/>
  <c r="GHU378" i="1"/>
  <c r="GHT378" i="1"/>
  <c r="GHM378" i="1"/>
  <c r="GHL378" i="1"/>
  <c r="GHE378" i="1"/>
  <c r="GHD378" i="1"/>
  <c r="GGW378" i="1"/>
  <c r="GGV378" i="1"/>
  <c r="GGO378" i="1"/>
  <c r="GGN378" i="1"/>
  <c r="GGG378" i="1"/>
  <c r="GGF378" i="1"/>
  <c r="GFY378" i="1"/>
  <c r="GFX378" i="1"/>
  <c r="GFQ378" i="1"/>
  <c r="GFP378" i="1"/>
  <c r="GFI378" i="1"/>
  <c r="GFH378" i="1"/>
  <c r="GFA378" i="1"/>
  <c r="GEZ378" i="1"/>
  <c r="GES378" i="1"/>
  <c r="GER378" i="1"/>
  <c r="GEK378" i="1"/>
  <c r="GEJ378" i="1"/>
  <c r="GEC378" i="1"/>
  <c r="GEB378" i="1"/>
  <c r="GDU378" i="1"/>
  <c r="GDT378" i="1"/>
  <c r="GDM378" i="1"/>
  <c r="GDL378" i="1"/>
  <c r="GDE378" i="1"/>
  <c r="GDD378" i="1"/>
  <c r="GCW378" i="1"/>
  <c r="GCV378" i="1"/>
  <c r="GCO378" i="1"/>
  <c r="GCN378" i="1"/>
  <c r="GCG378" i="1"/>
  <c r="GCF378" i="1"/>
  <c r="GBY378" i="1"/>
  <c r="GBX378" i="1"/>
  <c r="GBQ378" i="1"/>
  <c r="GBP378" i="1"/>
  <c r="GBI378" i="1"/>
  <c r="GBH378" i="1"/>
  <c r="GBA378" i="1"/>
  <c r="GAZ378" i="1"/>
  <c r="GAS378" i="1"/>
  <c r="GAR378" i="1"/>
  <c r="GAK378" i="1"/>
  <c r="GAJ378" i="1"/>
  <c r="GAC378" i="1"/>
  <c r="GAB378" i="1"/>
  <c r="FZU378" i="1"/>
  <c r="FZT378" i="1"/>
  <c r="FZM378" i="1"/>
  <c r="FZL378" i="1"/>
  <c r="FZE378" i="1"/>
  <c r="FZD378" i="1"/>
  <c r="FYW378" i="1"/>
  <c r="FYV378" i="1"/>
  <c r="FYO378" i="1"/>
  <c r="FYN378" i="1"/>
  <c r="FYG378" i="1"/>
  <c r="FYF378" i="1"/>
  <c r="FXY378" i="1"/>
  <c r="FXX378" i="1"/>
  <c r="FXQ378" i="1"/>
  <c r="FXP378" i="1"/>
  <c r="FXI378" i="1"/>
  <c r="FXH378" i="1"/>
  <c r="FXA378" i="1"/>
  <c r="FWZ378" i="1"/>
  <c r="FWS378" i="1"/>
  <c r="FWR378" i="1"/>
  <c r="FWK378" i="1"/>
  <c r="FWJ378" i="1"/>
  <c r="FWC378" i="1"/>
  <c r="FWB378" i="1"/>
  <c r="FVU378" i="1"/>
  <c r="FVT378" i="1"/>
  <c r="FVM378" i="1"/>
  <c r="FVL378" i="1"/>
  <c r="FVE378" i="1"/>
  <c r="FVD378" i="1"/>
  <c r="FUW378" i="1"/>
  <c r="FUV378" i="1"/>
  <c r="FUO378" i="1"/>
  <c r="FUN378" i="1"/>
  <c r="FUG378" i="1"/>
  <c r="FUF378" i="1"/>
  <c r="FTY378" i="1"/>
  <c r="FTX378" i="1"/>
  <c r="FTQ378" i="1"/>
  <c r="FTP378" i="1"/>
  <c r="FTI378" i="1"/>
  <c r="FTH378" i="1"/>
  <c r="FTA378" i="1"/>
  <c r="FSZ378" i="1"/>
  <c r="FSS378" i="1"/>
  <c r="FSR378" i="1"/>
  <c r="FSK378" i="1"/>
  <c r="FSJ378" i="1"/>
  <c r="FSC378" i="1"/>
  <c r="FSB378" i="1"/>
  <c r="FRU378" i="1"/>
  <c r="FRT378" i="1"/>
  <c r="FRM378" i="1"/>
  <c r="FRL378" i="1"/>
  <c r="FRE378" i="1"/>
  <c r="FRD378" i="1"/>
  <c r="FQW378" i="1"/>
  <c r="FQV378" i="1"/>
  <c r="FQO378" i="1"/>
  <c r="FQN378" i="1"/>
  <c r="FQG378" i="1"/>
  <c r="FQF378" i="1"/>
  <c r="FPY378" i="1"/>
  <c r="FPX378" i="1"/>
  <c r="FPQ378" i="1"/>
  <c r="FPP378" i="1"/>
  <c r="FPI378" i="1"/>
  <c r="FPH378" i="1"/>
  <c r="FPA378" i="1"/>
  <c r="FOZ378" i="1"/>
  <c r="FOS378" i="1"/>
  <c r="FOR378" i="1"/>
  <c r="FOK378" i="1"/>
  <c r="FOJ378" i="1"/>
  <c r="FOC378" i="1"/>
  <c r="FOB378" i="1"/>
  <c r="FNU378" i="1"/>
  <c r="FNT378" i="1"/>
  <c r="FNM378" i="1"/>
  <c r="FNL378" i="1"/>
  <c r="FNE378" i="1"/>
  <c r="FND378" i="1"/>
  <c r="FMW378" i="1"/>
  <c r="FMV378" i="1"/>
  <c r="FMO378" i="1"/>
  <c r="FMN378" i="1"/>
  <c r="FMG378" i="1"/>
  <c r="FMF378" i="1"/>
  <c r="FLY378" i="1"/>
  <c r="FLX378" i="1"/>
  <c r="FLQ378" i="1"/>
  <c r="FLP378" i="1"/>
  <c r="FLI378" i="1"/>
  <c r="FLH378" i="1"/>
  <c r="FLA378" i="1"/>
  <c r="FKZ378" i="1"/>
  <c r="FKS378" i="1"/>
  <c r="FKR378" i="1"/>
  <c r="FKK378" i="1"/>
  <c r="FKJ378" i="1"/>
  <c r="FKC378" i="1"/>
  <c r="FKB378" i="1"/>
  <c r="FJU378" i="1"/>
  <c r="FJT378" i="1"/>
  <c r="FJM378" i="1"/>
  <c r="FJL378" i="1"/>
  <c r="FJE378" i="1"/>
  <c r="FJD378" i="1"/>
  <c r="FIW378" i="1"/>
  <c r="FIV378" i="1"/>
  <c r="FIO378" i="1"/>
  <c r="FIN378" i="1"/>
  <c r="FIG378" i="1"/>
  <c r="FIF378" i="1"/>
  <c r="FHY378" i="1"/>
  <c r="FHX378" i="1"/>
  <c r="FHQ378" i="1"/>
  <c r="FHP378" i="1"/>
  <c r="FHI378" i="1"/>
  <c r="FHH378" i="1"/>
  <c r="FHA378" i="1"/>
  <c r="FGZ378" i="1"/>
  <c r="FGS378" i="1"/>
  <c r="FGR378" i="1"/>
  <c r="FGK378" i="1"/>
  <c r="FGJ378" i="1"/>
  <c r="FGC378" i="1"/>
  <c r="FGB378" i="1"/>
  <c r="FFU378" i="1"/>
  <c r="FFT378" i="1"/>
  <c r="FFM378" i="1"/>
  <c r="FFL378" i="1"/>
  <c r="FFE378" i="1"/>
  <c r="FFD378" i="1"/>
  <c r="FEW378" i="1"/>
  <c r="FEV378" i="1"/>
  <c r="FEO378" i="1"/>
  <c r="FEN378" i="1"/>
  <c r="FEG378" i="1"/>
  <c r="FEF378" i="1"/>
  <c r="FDY378" i="1"/>
  <c r="FDX378" i="1"/>
  <c r="FDQ378" i="1"/>
  <c r="FDP378" i="1"/>
  <c r="FDI378" i="1"/>
  <c r="FDH378" i="1"/>
  <c r="FDA378" i="1"/>
  <c r="FCZ378" i="1"/>
  <c r="FCS378" i="1"/>
  <c r="FCR378" i="1"/>
  <c r="FCK378" i="1"/>
  <c r="FCJ378" i="1"/>
  <c r="FCC378" i="1"/>
  <c r="FCB378" i="1"/>
  <c r="FBU378" i="1"/>
  <c r="FBT378" i="1"/>
  <c r="FBM378" i="1"/>
  <c r="FBL378" i="1"/>
  <c r="FBE378" i="1"/>
  <c r="FBD378" i="1"/>
  <c r="FAW378" i="1"/>
  <c r="FAV378" i="1"/>
  <c r="FAO378" i="1"/>
  <c r="FAN378" i="1"/>
  <c r="FAG378" i="1"/>
  <c r="FAF378" i="1"/>
  <c r="EZY378" i="1"/>
  <c r="EZX378" i="1"/>
  <c r="EZQ378" i="1"/>
  <c r="EZP378" i="1"/>
  <c r="EZI378" i="1"/>
  <c r="EZH378" i="1"/>
  <c r="EZA378" i="1"/>
  <c r="EYZ378" i="1"/>
  <c r="EYS378" i="1"/>
  <c r="EYR378" i="1"/>
  <c r="EYK378" i="1"/>
  <c r="EYJ378" i="1"/>
  <c r="EYC378" i="1"/>
  <c r="EYB378" i="1"/>
  <c r="EXU378" i="1"/>
  <c r="EXT378" i="1"/>
  <c r="EXM378" i="1"/>
  <c r="EXL378" i="1"/>
  <c r="EXE378" i="1"/>
  <c r="EXD378" i="1"/>
  <c r="EWW378" i="1"/>
  <c r="EWV378" i="1"/>
  <c r="EWO378" i="1"/>
  <c r="EWN378" i="1"/>
  <c r="EWG378" i="1"/>
  <c r="EWF378" i="1"/>
  <c r="EVY378" i="1"/>
  <c r="EVX378" i="1"/>
  <c r="EVQ378" i="1"/>
  <c r="EVP378" i="1"/>
  <c r="EVI378" i="1"/>
  <c r="EVH378" i="1"/>
  <c r="EVA378" i="1"/>
  <c r="EUZ378" i="1"/>
  <c r="EUS378" i="1"/>
  <c r="EUR378" i="1"/>
  <c r="EUK378" i="1"/>
  <c r="EUJ378" i="1"/>
  <c r="EUC378" i="1"/>
  <c r="EUB378" i="1"/>
  <c r="ETU378" i="1"/>
  <c r="ETT378" i="1"/>
  <c r="ETM378" i="1"/>
  <c r="ETL378" i="1"/>
  <c r="ETE378" i="1"/>
  <c r="ETD378" i="1"/>
  <c r="ESW378" i="1"/>
  <c r="ESV378" i="1"/>
  <c r="ESO378" i="1"/>
  <c r="ESN378" i="1"/>
  <c r="ESG378" i="1"/>
  <c r="ESF378" i="1"/>
  <c r="ERY378" i="1"/>
  <c r="ERX378" i="1"/>
  <c r="ERQ378" i="1"/>
  <c r="ERP378" i="1"/>
  <c r="ERI378" i="1"/>
  <c r="ERH378" i="1"/>
  <c r="ERA378" i="1"/>
  <c r="EQZ378" i="1"/>
  <c r="EQS378" i="1"/>
  <c r="EQR378" i="1"/>
  <c r="EQK378" i="1"/>
  <c r="EQJ378" i="1"/>
  <c r="EQC378" i="1"/>
  <c r="EQB378" i="1"/>
  <c r="EPU378" i="1"/>
  <c r="EPT378" i="1"/>
  <c r="EPM378" i="1"/>
  <c r="EPL378" i="1"/>
  <c r="EPE378" i="1"/>
  <c r="EPD378" i="1"/>
  <c r="EOW378" i="1"/>
  <c r="EOV378" i="1"/>
  <c r="EOO378" i="1"/>
  <c r="EON378" i="1"/>
  <c r="EOG378" i="1"/>
  <c r="EOF378" i="1"/>
  <c r="ENY378" i="1"/>
  <c r="ENX378" i="1"/>
  <c r="ENQ378" i="1"/>
  <c r="ENP378" i="1"/>
  <c r="ENI378" i="1"/>
  <c r="ENH378" i="1"/>
  <c r="ENA378" i="1"/>
  <c r="EMZ378" i="1"/>
  <c r="EMS378" i="1"/>
  <c r="EMR378" i="1"/>
  <c r="EMK378" i="1"/>
  <c r="EMJ378" i="1"/>
  <c r="EMC378" i="1"/>
  <c r="EMB378" i="1"/>
  <c r="ELU378" i="1"/>
  <c r="ELT378" i="1"/>
  <c r="ELM378" i="1"/>
  <c r="ELL378" i="1"/>
  <c r="ELE378" i="1"/>
  <c r="ELD378" i="1"/>
  <c r="EKW378" i="1"/>
  <c r="EKV378" i="1"/>
  <c r="EKO378" i="1"/>
  <c r="EKN378" i="1"/>
  <c r="EKG378" i="1"/>
  <c r="EKF378" i="1"/>
  <c r="EJY378" i="1"/>
  <c r="EJX378" i="1"/>
  <c r="EJQ378" i="1"/>
  <c r="EJP378" i="1"/>
  <c r="EJI378" i="1"/>
  <c r="EJH378" i="1"/>
  <c r="EJA378" i="1"/>
  <c r="EIZ378" i="1"/>
  <c r="EIS378" i="1"/>
  <c r="EIR378" i="1"/>
  <c r="EIK378" i="1"/>
  <c r="EIJ378" i="1"/>
  <c r="EIC378" i="1"/>
  <c r="EIB378" i="1"/>
  <c r="EHU378" i="1"/>
  <c r="EHT378" i="1"/>
  <c r="EHM378" i="1"/>
  <c r="EHL378" i="1"/>
  <c r="EHE378" i="1"/>
  <c r="EHD378" i="1"/>
  <c r="EGW378" i="1"/>
  <c r="EGV378" i="1"/>
  <c r="EGO378" i="1"/>
  <c r="EGN378" i="1"/>
  <c r="EGG378" i="1"/>
  <c r="EGF378" i="1"/>
  <c r="EFY378" i="1"/>
  <c r="EFX378" i="1"/>
  <c r="EFQ378" i="1"/>
  <c r="EFP378" i="1"/>
  <c r="EFI378" i="1"/>
  <c r="EFH378" i="1"/>
  <c r="EFA378" i="1"/>
  <c r="EEZ378" i="1"/>
  <c r="EES378" i="1"/>
  <c r="EER378" i="1"/>
  <c r="EEK378" i="1"/>
  <c r="EEJ378" i="1"/>
  <c r="EEC378" i="1"/>
  <c r="EEB378" i="1"/>
  <c r="EDU378" i="1"/>
  <c r="EDT378" i="1"/>
  <c r="EDM378" i="1"/>
  <c r="EDL378" i="1"/>
  <c r="EDE378" i="1"/>
  <c r="EDD378" i="1"/>
  <c r="ECW378" i="1"/>
  <c r="ECV378" i="1"/>
  <c r="ECO378" i="1"/>
  <c r="ECN378" i="1"/>
  <c r="ECG378" i="1"/>
  <c r="ECF378" i="1"/>
  <c r="EBY378" i="1"/>
  <c r="EBX378" i="1"/>
  <c r="EBQ378" i="1"/>
  <c r="EBP378" i="1"/>
  <c r="EBI378" i="1"/>
  <c r="EBH378" i="1"/>
  <c r="EBA378" i="1"/>
  <c r="EAZ378" i="1"/>
  <c r="EAS378" i="1"/>
  <c r="EAR378" i="1"/>
  <c r="EAK378" i="1"/>
  <c r="EAJ378" i="1"/>
  <c r="EAC378" i="1"/>
  <c r="EAB378" i="1"/>
  <c r="DZU378" i="1"/>
  <c r="DZT378" i="1"/>
  <c r="DZM378" i="1"/>
  <c r="DZL378" i="1"/>
  <c r="DZE378" i="1"/>
  <c r="DZD378" i="1"/>
  <c r="DYW378" i="1"/>
  <c r="DYV378" i="1"/>
  <c r="DYO378" i="1"/>
  <c r="DYN378" i="1"/>
  <c r="DYG378" i="1"/>
  <c r="DYF378" i="1"/>
  <c r="DXY378" i="1"/>
  <c r="DXX378" i="1"/>
  <c r="DXQ378" i="1"/>
  <c r="DXP378" i="1"/>
  <c r="DXI378" i="1"/>
  <c r="DXH378" i="1"/>
  <c r="DXA378" i="1"/>
  <c r="DWZ378" i="1"/>
  <c r="DWS378" i="1"/>
  <c r="DWR378" i="1"/>
  <c r="DWK378" i="1"/>
  <c r="DWJ378" i="1"/>
  <c r="DWC378" i="1"/>
  <c r="DWB378" i="1"/>
  <c r="DVU378" i="1"/>
  <c r="DVT378" i="1"/>
  <c r="DVM378" i="1"/>
  <c r="DVL378" i="1"/>
  <c r="DVE378" i="1"/>
  <c r="DVD378" i="1"/>
  <c r="DUW378" i="1"/>
  <c r="DUV378" i="1"/>
  <c r="DUO378" i="1"/>
  <c r="DUN378" i="1"/>
  <c r="DUG378" i="1"/>
  <c r="DUF378" i="1"/>
  <c r="DTY378" i="1"/>
  <c r="DTX378" i="1"/>
  <c r="DTQ378" i="1"/>
  <c r="DTP378" i="1"/>
  <c r="DTI378" i="1"/>
  <c r="DTH378" i="1"/>
  <c r="DTA378" i="1"/>
  <c r="DSZ378" i="1"/>
  <c r="DSS378" i="1"/>
  <c r="DSR378" i="1"/>
  <c r="DSK378" i="1"/>
  <c r="DSJ378" i="1"/>
  <c r="DSC378" i="1"/>
  <c r="DSB378" i="1"/>
  <c r="DRU378" i="1"/>
  <c r="DRT378" i="1"/>
  <c r="DRM378" i="1"/>
  <c r="DRL378" i="1"/>
  <c r="DRE378" i="1"/>
  <c r="DRD378" i="1"/>
  <c r="DQW378" i="1"/>
  <c r="DQV378" i="1"/>
  <c r="DQO378" i="1"/>
  <c r="DQN378" i="1"/>
  <c r="DQG378" i="1"/>
  <c r="DQF378" i="1"/>
  <c r="DPY378" i="1"/>
  <c r="DPX378" i="1"/>
  <c r="DPQ378" i="1"/>
  <c r="DPP378" i="1"/>
  <c r="DPI378" i="1"/>
  <c r="DPH378" i="1"/>
  <c r="DPA378" i="1"/>
  <c r="DOZ378" i="1"/>
  <c r="DOS378" i="1"/>
  <c r="DOR378" i="1"/>
  <c r="DOK378" i="1"/>
  <c r="DOJ378" i="1"/>
  <c r="DOC378" i="1"/>
  <c r="DOB378" i="1"/>
  <c r="DNU378" i="1"/>
  <c r="DNT378" i="1"/>
  <c r="DNM378" i="1"/>
  <c r="DNL378" i="1"/>
  <c r="DNE378" i="1"/>
  <c r="DND378" i="1"/>
  <c r="DMW378" i="1"/>
  <c r="DMV378" i="1"/>
  <c r="DMO378" i="1"/>
  <c r="DMN378" i="1"/>
  <c r="DMG378" i="1"/>
  <c r="DMF378" i="1"/>
  <c r="DLY378" i="1"/>
  <c r="DLX378" i="1"/>
  <c r="DLQ378" i="1"/>
  <c r="DLP378" i="1"/>
  <c r="DLI378" i="1"/>
  <c r="DLH378" i="1"/>
  <c r="DLA378" i="1"/>
  <c r="DKZ378" i="1"/>
  <c r="DKS378" i="1"/>
  <c r="DKR378" i="1"/>
  <c r="DKK378" i="1"/>
  <c r="DKJ378" i="1"/>
  <c r="DKC378" i="1"/>
  <c r="DKB378" i="1"/>
  <c r="DJU378" i="1"/>
  <c r="DJT378" i="1"/>
  <c r="DJM378" i="1"/>
  <c r="DJL378" i="1"/>
  <c r="DJE378" i="1"/>
  <c r="DJD378" i="1"/>
  <c r="DIW378" i="1"/>
  <c r="DIV378" i="1"/>
  <c r="DIO378" i="1"/>
  <c r="DIN378" i="1"/>
  <c r="DIG378" i="1"/>
  <c r="DIF378" i="1"/>
  <c r="DHY378" i="1"/>
  <c r="DHX378" i="1"/>
  <c r="DHQ378" i="1"/>
  <c r="DHP378" i="1"/>
  <c r="DHI378" i="1"/>
  <c r="DHH378" i="1"/>
  <c r="DHA378" i="1"/>
  <c r="DGZ378" i="1"/>
  <c r="DGS378" i="1"/>
  <c r="DGR378" i="1"/>
  <c r="DGK378" i="1"/>
  <c r="DGJ378" i="1"/>
  <c r="DGC378" i="1"/>
  <c r="DGB378" i="1"/>
  <c r="DFU378" i="1"/>
  <c r="DFT378" i="1"/>
  <c r="DFM378" i="1"/>
  <c r="DFL378" i="1"/>
  <c r="DFE378" i="1"/>
  <c r="DFD378" i="1"/>
  <c r="DEW378" i="1"/>
  <c r="DEV378" i="1"/>
  <c r="DEO378" i="1"/>
  <c r="DEN378" i="1"/>
  <c r="DEG378" i="1"/>
  <c r="DEF378" i="1"/>
  <c r="DDY378" i="1"/>
  <c r="DDX378" i="1"/>
  <c r="DDQ378" i="1"/>
  <c r="DDP378" i="1"/>
  <c r="DDI378" i="1"/>
  <c r="DDH378" i="1"/>
  <c r="DDA378" i="1"/>
  <c r="DCZ378" i="1"/>
  <c r="DCS378" i="1"/>
  <c r="DCR378" i="1"/>
  <c r="DCK378" i="1"/>
  <c r="DCJ378" i="1"/>
  <c r="DCC378" i="1"/>
  <c r="DCB378" i="1"/>
  <c r="DBU378" i="1"/>
  <c r="DBT378" i="1"/>
  <c r="DBM378" i="1"/>
  <c r="DBL378" i="1"/>
  <c r="DBE378" i="1"/>
  <c r="DBD378" i="1"/>
  <c r="DAW378" i="1"/>
  <c r="DAV378" i="1"/>
  <c r="DAO378" i="1"/>
  <c r="DAN378" i="1"/>
  <c r="DAG378" i="1"/>
  <c r="DAF378" i="1"/>
  <c r="CZY378" i="1"/>
  <c r="CZX378" i="1"/>
  <c r="CZQ378" i="1"/>
  <c r="CZP378" i="1"/>
  <c r="CZI378" i="1"/>
  <c r="CZH378" i="1"/>
  <c r="CZA378" i="1"/>
  <c r="CYZ378" i="1"/>
  <c r="CYS378" i="1"/>
  <c r="CYR378" i="1"/>
  <c r="CYK378" i="1"/>
  <c r="CYJ378" i="1"/>
  <c r="CYC378" i="1"/>
  <c r="CYB378" i="1"/>
  <c r="CXU378" i="1"/>
  <c r="CXT378" i="1"/>
  <c r="CXM378" i="1"/>
  <c r="CXL378" i="1"/>
  <c r="CXE378" i="1"/>
  <c r="CXD378" i="1"/>
  <c r="CWW378" i="1"/>
  <c r="CWV378" i="1"/>
  <c r="CWO378" i="1"/>
  <c r="CWN378" i="1"/>
  <c r="CWG378" i="1"/>
  <c r="CWF378" i="1"/>
  <c r="CVY378" i="1"/>
  <c r="CVX378" i="1"/>
  <c r="CVQ378" i="1"/>
  <c r="CVP378" i="1"/>
  <c r="CVI378" i="1"/>
  <c r="CVH378" i="1"/>
  <c r="CVA378" i="1"/>
  <c r="CUZ378" i="1"/>
  <c r="CUS378" i="1"/>
  <c r="CUR378" i="1"/>
  <c r="CUK378" i="1"/>
  <c r="CUJ378" i="1"/>
  <c r="CUC378" i="1"/>
  <c r="CUB378" i="1"/>
  <c r="CTU378" i="1"/>
  <c r="CTT378" i="1"/>
  <c r="CTM378" i="1"/>
  <c r="CTL378" i="1"/>
  <c r="CTE378" i="1"/>
  <c r="CTD378" i="1"/>
  <c r="CSW378" i="1"/>
  <c r="CSV378" i="1"/>
  <c r="CSO378" i="1"/>
  <c r="CSN378" i="1"/>
  <c r="CSG378" i="1"/>
  <c r="CSF378" i="1"/>
  <c r="CRY378" i="1"/>
  <c r="CRX378" i="1"/>
  <c r="CRQ378" i="1"/>
  <c r="CRP378" i="1"/>
  <c r="CRI378" i="1"/>
  <c r="CRH378" i="1"/>
  <c r="CRA378" i="1"/>
  <c r="CQZ378" i="1"/>
  <c r="CQS378" i="1"/>
  <c r="CQR378" i="1"/>
  <c r="CQK378" i="1"/>
  <c r="CQJ378" i="1"/>
  <c r="CQC378" i="1"/>
  <c r="CQB378" i="1"/>
  <c r="CPU378" i="1"/>
  <c r="CPT378" i="1"/>
  <c r="CPM378" i="1"/>
  <c r="CPL378" i="1"/>
  <c r="CPE378" i="1"/>
  <c r="CPD378" i="1"/>
  <c r="COW378" i="1"/>
  <c r="COV378" i="1"/>
  <c r="COO378" i="1"/>
  <c r="CON378" i="1"/>
  <c r="COG378" i="1"/>
  <c r="COF378" i="1"/>
  <c r="CNY378" i="1"/>
  <c r="CNX378" i="1"/>
  <c r="CNQ378" i="1"/>
  <c r="CNP378" i="1"/>
  <c r="CNI378" i="1"/>
  <c r="CNH378" i="1"/>
  <c r="CNA378" i="1"/>
  <c r="CMZ378" i="1"/>
  <c r="CMS378" i="1"/>
  <c r="CMR378" i="1"/>
  <c r="CMK378" i="1"/>
  <c r="CMJ378" i="1"/>
  <c r="CMC378" i="1"/>
  <c r="CMB378" i="1"/>
  <c r="CLU378" i="1"/>
  <c r="CLT378" i="1"/>
  <c r="CLM378" i="1"/>
  <c r="CLL378" i="1"/>
  <c r="CLE378" i="1"/>
  <c r="CLD378" i="1"/>
  <c r="CKW378" i="1"/>
  <c r="CKV378" i="1"/>
  <c r="CKO378" i="1"/>
  <c r="CKN378" i="1"/>
  <c r="CKG378" i="1"/>
  <c r="CKF378" i="1"/>
  <c r="CJY378" i="1"/>
  <c r="CJX378" i="1"/>
  <c r="CJQ378" i="1"/>
  <c r="CJP378" i="1"/>
  <c r="CJI378" i="1"/>
  <c r="CJH378" i="1"/>
  <c r="CJA378" i="1"/>
  <c r="CIZ378" i="1"/>
  <c r="CIS378" i="1"/>
  <c r="CIR378" i="1"/>
  <c r="CIK378" i="1"/>
  <c r="CIJ378" i="1"/>
  <c r="CIC378" i="1"/>
  <c r="CIB378" i="1"/>
  <c r="CHU378" i="1"/>
  <c r="CHT378" i="1"/>
  <c r="CHM378" i="1"/>
  <c r="CHL378" i="1"/>
  <c r="CHE378" i="1"/>
  <c r="CHD378" i="1"/>
  <c r="CGW378" i="1"/>
  <c r="CGV378" i="1"/>
  <c r="CGO378" i="1"/>
  <c r="CGN378" i="1"/>
  <c r="CGG378" i="1"/>
  <c r="CGF378" i="1"/>
  <c r="CFY378" i="1"/>
  <c r="CFX378" i="1"/>
  <c r="CFQ378" i="1"/>
  <c r="CFP378" i="1"/>
  <c r="CFI378" i="1"/>
  <c r="CFH378" i="1"/>
  <c r="CFA378" i="1"/>
  <c r="CEZ378" i="1"/>
  <c r="CES378" i="1"/>
  <c r="CER378" i="1"/>
  <c r="CEK378" i="1"/>
  <c r="CEJ378" i="1"/>
  <c r="CEC378" i="1"/>
  <c r="CEB378" i="1"/>
  <c r="CDU378" i="1"/>
  <c r="CDT378" i="1"/>
  <c r="CDM378" i="1"/>
  <c r="CDL378" i="1"/>
  <c r="CDE378" i="1"/>
  <c r="CDD378" i="1"/>
  <c r="CCW378" i="1"/>
  <c r="CCV378" i="1"/>
  <c r="CCO378" i="1"/>
  <c r="CCN378" i="1"/>
  <c r="CCG378" i="1"/>
  <c r="CCF378" i="1"/>
  <c r="CBY378" i="1"/>
  <c r="CBX378" i="1"/>
  <c r="CBQ378" i="1"/>
  <c r="CBP378" i="1"/>
  <c r="CBI378" i="1"/>
  <c r="CBH378" i="1"/>
  <c r="CBA378" i="1"/>
  <c r="CAZ378" i="1"/>
  <c r="CAS378" i="1"/>
  <c r="CAR378" i="1"/>
  <c r="CAK378" i="1"/>
  <c r="CAJ378" i="1"/>
  <c r="CAC378" i="1"/>
  <c r="CAB378" i="1"/>
  <c r="BZU378" i="1"/>
  <c r="BZT378" i="1"/>
  <c r="BZM378" i="1"/>
  <c r="BZL378" i="1"/>
  <c r="BZE378" i="1"/>
  <c r="BZD378" i="1"/>
  <c r="BYW378" i="1"/>
  <c r="BYV378" i="1"/>
  <c r="BYO378" i="1"/>
  <c r="BYN378" i="1"/>
  <c r="BYG378" i="1"/>
  <c r="BYF378" i="1"/>
  <c r="BXY378" i="1"/>
  <c r="BXX378" i="1"/>
  <c r="BXQ378" i="1"/>
  <c r="BXP378" i="1"/>
  <c r="BXI378" i="1"/>
  <c r="BXH378" i="1"/>
  <c r="BXA378" i="1"/>
  <c r="BWZ378" i="1"/>
  <c r="BWS378" i="1"/>
  <c r="BWR378" i="1"/>
  <c r="BWK378" i="1"/>
  <c r="BWJ378" i="1"/>
  <c r="BWC378" i="1"/>
  <c r="BWB378" i="1"/>
  <c r="BVU378" i="1"/>
  <c r="BVT378" i="1"/>
  <c r="BVM378" i="1"/>
  <c r="BVL378" i="1"/>
  <c r="BVE378" i="1"/>
  <c r="BVD378" i="1"/>
  <c r="BUW378" i="1"/>
  <c r="BUV378" i="1"/>
  <c r="BUO378" i="1"/>
  <c r="BUN378" i="1"/>
  <c r="BUG378" i="1"/>
  <c r="BUF378" i="1"/>
  <c r="BTY378" i="1"/>
  <c r="BTX378" i="1"/>
  <c r="BTQ378" i="1"/>
  <c r="BTP378" i="1"/>
  <c r="BTI378" i="1"/>
  <c r="BTH378" i="1"/>
  <c r="BTA378" i="1"/>
  <c r="BSZ378" i="1"/>
  <c r="BSS378" i="1"/>
  <c r="BSR378" i="1"/>
  <c r="BSK378" i="1"/>
  <c r="BSJ378" i="1"/>
  <c r="BSC378" i="1"/>
  <c r="BSB378" i="1"/>
  <c r="BRU378" i="1"/>
  <c r="BRT378" i="1"/>
  <c r="BRM378" i="1"/>
  <c r="BRL378" i="1"/>
  <c r="BRE378" i="1"/>
  <c r="BRD378" i="1"/>
  <c r="BQW378" i="1"/>
  <c r="BQV378" i="1"/>
  <c r="BQO378" i="1"/>
  <c r="BQN378" i="1"/>
  <c r="BQG378" i="1"/>
  <c r="BQF378" i="1"/>
  <c r="BPY378" i="1"/>
  <c r="BPX378" i="1"/>
  <c r="BPQ378" i="1"/>
  <c r="BPP378" i="1"/>
  <c r="BPI378" i="1"/>
  <c r="BPH378" i="1"/>
  <c r="BPA378" i="1"/>
  <c r="BOZ378" i="1"/>
  <c r="BOS378" i="1"/>
  <c r="BOR378" i="1"/>
  <c r="BOK378" i="1"/>
  <c r="BOJ378" i="1"/>
  <c r="BOC378" i="1"/>
  <c r="BOB378" i="1"/>
  <c r="BNU378" i="1"/>
  <c r="BNT378" i="1"/>
  <c r="BNM378" i="1"/>
  <c r="BNL378" i="1"/>
  <c r="BNE378" i="1"/>
  <c r="BND378" i="1"/>
  <c r="BMW378" i="1"/>
  <c r="BMV378" i="1"/>
  <c r="BMO378" i="1"/>
  <c r="BMN378" i="1"/>
  <c r="BMG378" i="1"/>
  <c r="BMF378" i="1"/>
  <c r="BLY378" i="1"/>
  <c r="BLX378" i="1"/>
  <c r="BLQ378" i="1"/>
  <c r="BLP378" i="1"/>
  <c r="BLI378" i="1"/>
  <c r="BLH378" i="1"/>
  <c r="BLA378" i="1"/>
  <c r="BKZ378" i="1"/>
  <c r="BKS378" i="1"/>
  <c r="BKR378" i="1"/>
  <c r="BKK378" i="1"/>
  <c r="BKJ378" i="1"/>
  <c r="BKC378" i="1"/>
  <c r="BKB378" i="1"/>
  <c r="BJU378" i="1"/>
  <c r="BJT378" i="1"/>
  <c r="BJM378" i="1"/>
  <c r="BJL378" i="1"/>
  <c r="BJE378" i="1"/>
  <c r="BJD378" i="1"/>
  <c r="BIW378" i="1"/>
  <c r="BIV378" i="1"/>
  <c r="BIO378" i="1"/>
  <c r="BIN378" i="1"/>
  <c r="BIG378" i="1"/>
  <c r="BIF378" i="1"/>
  <c r="BHY378" i="1"/>
  <c r="BHX378" i="1"/>
  <c r="BHQ378" i="1"/>
  <c r="BHP378" i="1"/>
  <c r="BHI378" i="1"/>
  <c r="BHH378" i="1"/>
  <c r="BHA378" i="1"/>
  <c r="BGZ378" i="1"/>
  <c r="BGS378" i="1"/>
  <c r="BGR378" i="1"/>
  <c r="BGK378" i="1"/>
  <c r="BGJ378" i="1"/>
  <c r="BGC378" i="1"/>
  <c r="BGB378" i="1"/>
  <c r="BFU378" i="1"/>
  <c r="BFT378" i="1"/>
  <c r="BFM378" i="1"/>
  <c r="BFL378" i="1"/>
  <c r="BFE378" i="1"/>
  <c r="BFD378" i="1"/>
  <c r="BEW378" i="1"/>
  <c r="BEV378" i="1"/>
  <c r="BEO378" i="1"/>
  <c r="BEN378" i="1"/>
  <c r="BEG378" i="1"/>
  <c r="BEF378" i="1"/>
  <c r="BDY378" i="1"/>
  <c r="BDX378" i="1"/>
  <c r="BDQ378" i="1"/>
  <c r="BDP378" i="1"/>
  <c r="BDI378" i="1"/>
  <c r="BDH378" i="1"/>
  <c r="BDA378" i="1"/>
  <c r="BCZ378" i="1"/>
  <c r="BCS378" i="1"/>
  <c r="BCR378" i="1"/>
  <c r="BCK378" i="1"/>
  <c r="BCJ378" i="1"/>
  <c r="BCC378" i="1"/>
  <c r="BCB378" i="1"/>
  <c r="BBU378" i="1"/>
  <c r="BBT378" i="1"/>
  <c r="BBM378" i="1"/>
  <c r="BBL378" i="1"/>
  <c r="BBE378" i="1"/>
  <c r="BBD378" i="1"/>
  <c r="BAW378" i="1"/>
  <c r="BAV378" i="1"/>
  <c r="BAO378" i="1"/>
  <c r="BAN378" i="1"/>
  <c r="BAG378" i="1"/>
  <c r="BAF378" i="1"/>
  <c r="AZY378" i="1"/>
  <c r="AZX378" i="1"/>
  <c r="AZQ378" i="1"/>
  <c r="AZP378" i="1"/>
  <c r="AZI378" i="1"/>
  <c r="AZH378" i="1"/>
  <c r="AZA378" i="1"/>
  <c r="AYZ378" i="1"/>
  <c r="AYS378" i="1"/>
  <c r="AYR378" i="1"/>
  <c r="AYK378" i="1"/>
  <c r="AYJ378" i="1"/>
  <c r="AYC378" i="1"/>
  <c r="AYB378" i="1"/>
  <c r="AXU378" i="1"/>
  <c r="AXT378" i="1"/>
  <c r="AXM378" i="1"/>
  <c r="AXL378" i="1"/>
  <c r="AXE378" i="1"/>
  <c r="AXD378" i="1"/>
  <c r="AWW378" i="1"/>
  <c r="AWV378" i="1"/>
  <c r="AWO378" i="1"/>
  <c r="AWN378" i="1"/>
  <c r="AWG378" i="1"/>
  <c r="AWF378" i="1"/>
  <c r="AVY378" i="1"/>
  <c r="AVX378" i="1"/>
  <c r="AVQ378" i="1"/>
  <c r="AVP378" i="1"/>
  <c r="AVI378" i="1"/>
  <c r="AVH378" i="1"/>
  <c r="AVA378" i="1"/>
  <c r="AUZ378" i="1"/>
  <c r="AUS378" i="1"/>
  <c r="AUR378" i="1"/>
  <c r="AUK378" i="1"/>
  <c r="AUJ378" i="1"/>
  <c r="AUC378" i="1"/>
  <c r="AUB378" i="1"/>
  <c r="ATU378" i="1"/>
  <c r="ATT378" i="1"/>
  <c r="ATM378" i="1"/>
  <c r="ATL378" i="1"/>
  <c r="ATE378" i="1"/>
  <c r="ATD378" i="1"/>
  <c r="ASW378" i="1"/>
  <c r="ASV378" i="1"/>
  <c r="ASO378" i="1"/>
  <c r="ASN378" i="1"/>
  <c r="ASG378" i="1"/>
  <c r="ASF378" i="1"/>
  <c r="ARY378" i="1"/>
  <c r="ARX378" i="1"/>
  <c r="ARQ378" i="1"/>
  <c r="ARP378" i="1"/>
  <c r="ARI378" i="1"/>
  <c r="ARH378" i="1"/>
  <c r="ARA378" i="1"/>
  <c r="AQZ378" i="1"/>
  <c r="AQS378" i="1"/>
  <c r="AQR378" i="1"/>
  <c r="AQK378" i="1"/>
  <c r="AQJ378" i="1"/>
  <c r="AQC378" i="1"/>
  <c r="AQB378" i="1"/>
  <c r="APU378" i="1"/>
  <c r="APT378" i="1"/>
  <c r="APM378" i="1"/>
  <c r="APL378" i="1"/>
  <c r="APE378" i="1"/>
  <c r="APD378" i="1"/>
  <c r="AOW378" i="1"/>
  <c r="AOV378" i="1"/>
  <c r="AOO378" i="1"/>
  <c r="AON378" i="1"/>
  <c r="AOG378" i="1"/>
  <c r="AOF378" i="1"/>
  <c r="ANY378" i="1"/>
  <c r="ANX378" i="1"/>
  <c r="ANQ378" i="1"/>
  <c r="ANP378" i="1"/>
  <c r="ANI378" i="1"/>
  <c r="ANH378" i="1"/>
  <c r="ANA378" i="1"/>
  <c r="AMZ378" i="1"/>
  <c r="AMS378" i="1"/>
  <c r="AMR378" i="1"/>
  <c r="AMK378" i="1"/>
  <c r="AMJ378" i="1"/>
  <c r="AMC378" i="1"/>
  <c r="AMB378" i="1"/>
  <c r="ALU378" i="1"/>
  <c r="ALT378" i="1"/>
  <c r="ALM378" i="1"/>
  <c r="ALL378" i="1"/>
  <c r="ALE378" i="1"/>
  <c r="ALD378" i="1"/>
  <c r="AKW378" i="1"/>
  <c r="AKV378" i="1"/>
  <c r="AKO378" i="1"/>
  <c r="AKN378" i="1"/>
  <c r="AKG378" i="1"/>
  <c r="AKF378" i="1"/>
  <c r="AJY378" i="1"/>
  <c r="AJX378" i="1"/>
  <c r="AJQ378" i="1"/>
  <c r="AJP378" i="1"/>
  <c r="AJI378" i="1"/>
  <c r="AJH378" i="1"/>
  <c r="AJA378" i="1"/>
  <c r="AIZ378" i="1"/>
  <c r="AIS378" i="1"/>
  <c r="AIR378" i="1"/>
  <c r="AIK378" i="1"/>
  <c r="AIJ378" i="1"/>
  <c r="AIC378" i="1"/>
  <c r="AIB378" i="1"/>
  <c r="AHU378" i="1"/>
  <c r="AHT378" i="1"/>
  <c r="AHM378" i="1"/>
  <c r="AHL378" i="1"/>
  <c r="AHE378" i="1"/>
  <c r="AHD378" i="1"/>
  <c r="AGW378" i="1"/>
  <c r="AGV378" i="1"/>
  <c r="AGO378" i="1"/>
  <c r="AGN378" i="1"/>
  <c r="AGG378" i="1"/>
  <c r="AGF378" i="1"/>
  <c r="AFY378" i="1"/>
  <c r="AFX378" i="1"/>
  <c r="AFQ378" i="1"/>
  <c r="AFP378" i="1"/>
  <c r="AFI378" i="1"/>
  <c r="AFH378" i="1"/>
  <c r="AFA378" i="1"/>
  <c r="AEZ378" i="1"/>
  <c r="AES378" i="1"/>
  <c r="AER378" i="1"/>
  <c r="AEK378" i="1"/>
  <c r="AEJ378" i="1"/>
  <c r="AEC378" i="1"/>
  <c r="AEB378" i="1"/>
  <c r="ADU378" i="1"/>
  <c r="ADT378" i="1"/>
  <c r="ADM378" i="1"/>
  <c r="ADL378" i="1"/>
  <c r="ADE378" i="1"/>
  <c r="ADD378" i="1"/>
  <c r="ACW378" i="1"/>
  <c r="ACV378" i="1"/>
  <c r="ACO378" i="1"/>
  <c r="ACN378" i="1"/>
  <c r="ACG378" i="1"/>
  <c r="ACF378" i="1"/>
  <c r="ABY378" i="1"/>
  <c r="ABX378" i="1"/>
  <c r="ABQ378" i="1"/>
  <c r="ABP378" i="1"/>
  <c r="ABI378" i="1"/>
  <c r="ABH378" i="1"/>
  <c r="ABA378" i="1"/>
  <c r="AAZ378" i="1"/>
  <c r="AAS378" i="1"/>
  <c r="AAR378" i="1"/>
  <c r="AAK378" i="1"/>
  <c r="AAJ378" i="1"/>
  <c r="AAC378" i="1"/>
  <c r="AAB378" i="1"/>
  <c r="ZU378" i="1"/>
  <c r="ZT378" i="1"/>
  <c r="ZM378" i="1"/>
  <c r="ZL378" i="1"/>
  <c r="ZE378" i="1"/>
  <c r="ZD378" i="1"/>
  <c r="YW378" i="1"/>
  <c r="YV378" i="1"/>
  <c r="YO378" i="1"/>
  <c r="YN378" i="1"/>
  <c r="YG378" i="1"/>
  <c r="YF378" i="1"/>
  <c r="XY378" i="1"/>
  <c r="XX378" i="1"/>
  <c r="XQ378" i="1"/>
  <c r="XP378" i="1"/>
  <c r="XI378" i="1"/>
  <c r="XH378" i="1"/>
  <c r="XA378" i="1"/>
  <c r="WZ378" i="1"/>
  <c r="WS378" i="1"/>
  <c r="WR378" i="1"/>
  <c r="WK378" i="1"/>
  <c r="WJ378" i="1"/>
  <c r="WC378" i="1"/>
  <c r="WB378" i="1"/>
  <c r="VU378" i="1"/>
  <c r="VT378" i="1"/>
  <c r="VM378" i="1"/>
  <c r="VL378" i="1"/>
  <c r="VE378" i="1"/>
  <c r="VD378" i="1"/>
  <c r="UW378" i="1"/>
  <c r="UV378" i="1"/>
  <c r="UO378" i="1"/>
  <c r="UN378" i="1"/>
  <c r="UG378" i="1"/>
  <c r="UF378" i="1"/>
  <c r="TY378" i="1"/>
  <c r="TX378" i="1"/>
  <c r="TQ378" i="1"/>
  <c r="TP378" i="1"/>
  <c r="TI378" i="1"/>
  <c r="TH378" i="1"/>
  <c r="TA378" i="1"/>
  <c r="SZ378" i="1"/>
  <c r="SS378" i="1"/>
  <c r="SR378" i="1"/>
  <c r="SK378" i="1"/>
  <c r="SJ378" i="1"/>
  <c r="SC378" i="1"/>
  <c r="SB378" i="1"/>
  <c r="RU378" i="1"/>
  <c r="RT378" i="1"/>
  <c r="RM378" i="1"/>
  <c r="RL378" i="1"/>
  <c r="RE378" i="1"/>
  <c r="RD378" i="1"/>
  <c r="QW378" i="1"/>
  <c r="QV378" i="1"/>
  <c r="QO378" i="1"/>
  <c r="QN378" i="1"/>
  <c r="QG378" i="1"/>
  <c r="QF378" i="1"/>
  <c r="PY378" i="1"/>
  <c r="PX378" i="1"/>
  <c r="PQ378" i="1"/>
  <c r="PP378" i="1"/>
  <c r="PI378" i="1"/>
  <c r="PH378" i="1"/>
  <c r="PA378" i="1"/>
  <c r="OZ378" i="1"/>
  <c r="OS378" i="1"/>
  <c r="OR378" i="1"/>
  <c r="OK378" i="1"/>
  <c r="OJ378" i="1"/>
  <c r="OC378" i="1"/>
  <c r="OB378" i="1"/>
  <c r="NU378" i="1"/>
  <c r="NT378" i="1"/>
  <c r="NM378" i="1"/>
  <c r="NL378" i="1"/>
  <c r="NE378" i="1"/>
  <c r="ND378" i="1"/>
  <c r="MW378" i="1"/>
  <c r="MV378" i="1"/>
  <c r="MO378" i="1"/>
  <c r="MN378" i="1"/>
  <c r="MG378" i="1"/>
  <c r="MF378" i="1"/>
  <c r="LY378" i="1"/>
  <c r="LX378" i="1"/>
  <c r="LQ378" i="1"/>
  <c r="LP378" i="1"/>
  <c r="LI378" i="1"/>
  <c r="LH378" i="1"/>
  <c r="LA378" i="1"/>
  <c r="KZ378" i="1"/>
  <c r="KS378" i="1"/>
  <c r="KR378" i="1"/>
  <c r="KK378" i="1"/>
  <c r="KJ378" i="1"/>
  <c r="KC378" i="1"/>
  <c r="KB378" i="1"/>
  <c r="JU378" i="1"/>
  <c r="JT378" i="1"/>
  <c r="JM378" i="1"/>
  <c r="JL378" i="1"/>
  <c r="JE378" i="1"/>
  <c r="JD378" i="1"/>
  <c r="IW378" i="1"/>
  <c r="IV378" i="1"/>
  <c r="IO378" i="1"/>
  <c r="IN378" i="1"/>
  <c r="IG378" i="1"/>
  <c r="IF378" i="1"/>
  <c r="HY378" i="1"/>
  <c r="HX378" i="1"/>
  <c r="HQ378" i="1"/>
  <c r="HP378" i="1"/>
  <c r="HI378" i="1"/>
  <c r="HH378" i="1"/>
  <c r="HA378" i="1"/>
  <c r="GZ378" i="1"/>
  <c r="GS378" i="1"/>
  <c r="GR378" i="1"/>
  <c r="GK378" i="1"/>
  <c r="GJ378" i="1"/>
  <c r="GC378" i="1"/>
  <c r="GB378" i="1"/>
  <c r="FU378" i="1"/>
  <c r="FT378" i="1"/>
  <c r="FM378" i="1"/>
  <c r="FL378" i="1"/>
  <c r="FE378" i="1"/>
  <c r="FD378" i="1"/>
  <c r="EW378" i="1"/>
  <c r="EV378" i="1"/>
  <c r="A378" i="1"/>
  <c r="C383" i="1"/>
  <c r="A383" i="1"/>
  <c r="C376" i="1"/>
  <c r="A376" i="1"/>
  <c r="C389" i="1"/>
  <c r="A389" i="1"/>
  <c r="C390" i="1"/>
  <c r="A390" i="1"/>
  <c r="C391" i="1"/>
  <c r="A391" i="1"/>
  <c r="C392" i="1"/>
  <c r="A392" i="1"/>
  <c r="C393" i="1"/>
  <c r="A393" i="1"/>
  <c r="C394" i="1"/>
  <c r="A394" i="1"/>
  <c r="C396" i="1"/>
  <c r="C395" i="1"/>
  <c r="A396" i="1"/>
  <c r="A395" i="1"/>
  <c r="C397" i="1"/>
  <c r="C398" i="1"/>
  <c r="C399" i="1"/>
  <c r="C400" i="1"/>
  <c r="C402" i="1"/>
  <c r="C401" i="1"/>
  <c r="A402" i="1"/>
  <c r="A401" i="1"/>
  <c r="C388" i="1"/>
  <c r="A388" i="1"/>
  <c r="C404" i="1"/>
  <c r="C403" i="1"/>
  <c r="A404" i="1"/>
  <c r="A403" i="1"/>
  <c r="C405" i="1"/>
  <c r="A405" i="1"/>
  <c r="A407" i="1"/>
  <c r="A406" i="1"/>
  <c r="C408" i="1"/>
  <c r="A408" i="1"/>
  <c r="C385" i="1"/>
  <c r="A385" i="1"/>
  <c r="C387" i="1"/>
  <c r="A387" i="1"/>
  <c r="C409" i="1"/>
  <c r="A409" i="1"/>
  <c r="C386" i="1"/>
  <c r="A386" i="1"/>
  <c r="C410" i="1"/>
  <c r="A410" i="1"/>
  <c r="C412" i="1"/>
  <c r="A412" i="1"/>
  <c r="C414" i="1"/>
  <c r="C413" i="1"/>
  <c r="A414" i="1"/>
  <c r="A413" i="1"/>
  <c r="C415" i="1"/>
  <c r="A415" i="1"/>
  <c r="C417" i="1"/>
  <c r="A417" i="1"/>
  <c r="C416" i="1"/>
  <c r="A416" i="1"/>
  <c r="C419" i="1"/>
  <c r="C418" i="1"/>
  <c r="A419" i="1"/>
  <c r="A418" i="1"/>
  <c r="C422" i="1"/>
  <c r="A422" i="1"/>
  <c r="C427" i="1"/>
  <c r="A427" i="1"/>
  <c r="C431" i="1"/>
  <c r="A431" i="1"/>
  <c r="C432" i="1"/>
  <c r="A432" i="1"/>
  <c r="C437" i="1"/>
  <c r="A437" i="1"/>
  <c r="C436" i="1"/>
  <c r="A436" i="1"/>
  <c r="C435" i="1"/>
  <c r="C434" i="1"/>
  <c r="A435" i="1"/>
  <c r="A434" i="1"/>
  <c r="C439" i="1"/>
  <c r="C438" i="1"/>
  <c r="A439" i="1"/>
  <c r="A438" i="1"/>
  <c r="C442" i="1"/>
  <c r="A442" i="1"/>
  <c r="C441" i="1"/>
  <c r="A441" i="1"/>
  <c r="C443" i="1"/>
  <c r="A443" i="1"/>
  <c r="C420" i="1"/>
  <c r="A420" i="1"/>
  <c r="C421" i="1"/>
  <c r="A421" i="1"/>
  <c r="C444" i="1"/>
  <c r="A444" i="1"/>
  <c r="C429" i="1"/>
  <c r="P429" i="1"/>
  <c r="A429" i="1"/>
  <c r="C459" i="1"/>
  <c r="A459" i="1"/>
  <c r="C467" i="1"/>
  <c r="A467" i="1"/>
  <c r="C466" i="1"/>
  <c r="A466" i="1"/>
  <c r="C465" i="1"/>
  <c r="A465" i="1"/>
  <c r="C440" i="1"/>
  <c r="A440" i="1"/>
  <c r="C464" i="1"/>
  <c r="A464" i="1"/>
  <c r="C468" i="1"/>
  <c r="A468" i="1"/>
  <c r="C446" i="1"/>
  <c r="A446" i="1"/>
  <c r="C445" i="1"/>
  <c r="A445" i="1"/>
  <c r="C472" i="1"/>
  <c r="A472" i="1"/>
  <c r="C486" i="1"/>
  <c r="A486" i="1"/>
  <c r="C487" i="1"/>
  <c r="A487" i="1"/>
  <c r="C488" i="1"/>
  <c r="A488" i="1"/>
  <c r="C473" i="1"/>
  <c r="A473" i="1"/>
  <c r="C485" i="1"/>
  <c r="A485" i="1"/>
  <c r="C492" i="1"/>
  <c r="A492" i="1"/>
  <c r="C493" i="1"/>
  <c r="A493" i="1"/>
  <c r="C495" i="1"/>
  <c r="A495" i="1"/>
  <c r="C494" i="1"/>
  <c r="A494" i="1"/>
</calcChain>
</file>

<file path=xl/sharedStrings.xml><?xml version="1.0" encoding="utf-8"?>
<sst xmlns="http://schemas.openxmlformats.org/spreadsheetml/2006/main" count="18987" uniqueCount="5208">
  <si>
    <t>Updates to GMS Product Catalogue</t>
  </si>
  <si>
    <t>LCBO Item #</t>
  </si>
  <si>
    <t xml:space="preserve">LCBO Product Description </t>
  </si>
  <si>
    <t>Size</t>
  </si>
  <si>
    <t>Effective Date</t>
  </si>
  <si>
    <t>Discontinued by supplier</t>
  </si>
  <si>
    <t>500 ml</t>
  </si>
  <si>
    <t>Stella Artois Legere</t>
  </si>
  <si>
    <t xml:space="preserve">Downhill Pale Ale </t>
  </si>
  <si>
    <t>473 ml</t>
  </si>
  <si>
    <t>replaces 397786; selling units per case pack = 12</t>
  </si>
  <si>
    <t>2838 ml</t>
  </si>
  <si>
    <t xml:space="preserve">Old Milwaukee 6 pk </t>
  </si>
  <si>
    <t>Delivery change to LCBO from TBS</t>
  </si>
  <si>
    <t>Delivery change to Brewery from LCBO</t>
  </si>
  <si>
    <t>Delivery change to Brewer from TBS</t>
  </si>
  <si>
    <t>Budweiser Crown</t>
  </si>
  <si>
    <t>Product Update</t>
  </si>
  <si>
    <t>2046 ml</t>
  </si>
  <si>
    <t>Wellington Special Pale Ale</t>
  </si>
  <si>
    <t>Wellington Special Pale Ale 6 pk</t>
  </si>
  <si>
    <t>Wellington County Dark</t>
  </si>
  <si>
    <t>Wellington County Dark 6 pk</t>
  </si>
  <si>
    <t>Master UPC</t>
  </si>
  <si>
    <t>Busch 473ml</t>
  </si>
  <si>
    <t>473 mL</t>
  </si>
  <si>
    <t>Bud Light Lime</t>
  </si>
  <si>
    <r>
      <t xml:space="preserve">UPC/SCC codes updated from UPC: 01841525/SCC 800001841523 to </t>
    </r>
    <r>
      <rPr>
        <b/>
        <sz val="11"/>
        <rFont val="Calibri"/>
        <family val="2"/>
        <scheme val="minor"/>
      </rPr>
      <t>UPC: 018200004155/SCC: 80018200004151</t>
    </r>
  </si>
  <si>
    <t>Bud Light Lime 6pk-B+</t>
  </si>
  <si>
    <t>1980 mL</t>
  </si>
  <si>
    <r>
      <t xml:space="preserve">UPC/SCC codes updated from UPC: 018200149917/SCC: 018200963162 to </t>
    </r>
    <r>
      <rPr>
        <b/>
        <sz val="11"/>
        <color theme="1"/>
        <rFont val="Calibri"/>
        <family val="2"/>
        <scheme val="minor"/>
      </rPr>
      <t>UPC :01817829 /SCC : 018200963162</t>
    </r>
  </si>
  <si>
    <t>Stella Artois Legere +</t>
  </si>
  <si>
    <r>
      <t>UPC/SCC codes updated from UPC: 5410228197362/SCC: 786150000632 to</t>
    </r>
    <r>
      <rPr>
        <b/>
        <sz val="11"/>
        <color rgb="FF000000"/>
        <rFont val="Calibri"/>
        <family val="2"/>
      </rPr>
      <t xml:space="preserve"> UPC: 5410228197355/SCC: 786150000649</t>
    </r>
  </si>
  <si>
    <t>Corona Extra +</t>
  </si>
  <si>
    <t>710 mL</t>
  </si>
  <si>
    <r>
      <t xml:space="preserve">UPC/SCC codes updated from  UPC: 080660956053/SCC: 27501064956885 to </t>
    </r>
    <r>
      <rPr>
        <b/>
        <sz val="11"/>
        <color rgb="FF000000"/>
        <rFont val="Calibri"/>
        <family val="2"/>
      </rPr>
      <t xml:space="preserve">UPC: 7501064196102 /SCC:27501064196113 </t>
    </r>
  </si>
  <si>
    <t>Molson Canadian 6 Pk-C</t>
  </si>
  <si>
    <t>2130 mL</t>
  </si>
  <si>
    <r>
      <t xml:space="preserve">SCC updated from SCC : 80056327073230 to SCC: </t>
    </r>
    <r>
      <rPr>
        <b/>
        <sz val="11"/>
        <rFont val="Calibri"/>
        <family val="2"/>
        <scheme val="minor"/>
      </rPr>
      <t>56327073234</t>
    </r>
  </si>
  <si>
    <t>The Brouhaha - Nut Brown</t>
  </si>
  <si>
    <t>Pouch Envy -  Australia Pale</t>
  </si>
  <si>
    <t xml:space="preserve">Temporarily removed by supplier due to packaging issues.  </t>
  </si>
  <si>
    <t>3000 ml</t>
  </si>
  <si>
    <t>750 ml</t>
  </si>
  <si>
    <t>  500 ml</t>
  </si>
  <si>
    <t>Stella Artois 6 Pk Tc</t>
  </si>
  <si>
    <t>Collective Arts Rhyme &amp; Reason Pale Ale 6 Pk-Btl</t>
  </si>
  <si>
    <t>Maclean's Pale Ale</t>
  </si>
  <si>
    <t>500 mL</t>
  </si>
  <si>
    <t>Discontinued by supplier, replacement to follow at a later date</t>
  </si>
  <si>
    <r>
      <t xml:space="preserve">UPC/SCC codes updated from UPC 062067201509 / SCC 7006206720150 to </t>
    </r>
    <r>
      <rPr>
        <b/>
        <sz val="11"/>
        <rFont val="Calibri"/>
        <family val="2"/>
        <scheme val="minor"/>
      </rPr>
      <t>UPC 786150001370/SCC 05410228228851</t>
    </r>
  </si>
  <si>
    <t>STELLA ARTOIS 6 PK TC</t>
  </si>
  <si>
    <t>3000ml</t>
  </si>
  <si>
    <t>Delivery change to LCBO from Brewery</t>
  </si>
  <si>
    <t>0420216</t>
  </si>
  <si>
    <t>Granville Island Hey Day Hefdeweizen.</t>
  </si>
  <si>
    <r>
      <t xml:space="preserve">SCC code updated from 08077944620061 to </t>
    </r>
    <r>
      <rPr>
        <b/>
        <sz val="11"/>
        <rFont val="Calibri"/>
        <family val="2"/>
        <scheme val="minor"/>
      </rPr>
      <t>10779446200622</t>
    </r>
  </si>
  <si>
    <t>Kronenbourg 1664 Blanc +</t>
  </si>
  <si>
    <r>
      <t xml:space="preserve">SCC code updated from 80851621000049 to </t>
    </r>
    <r>
      <rPr>
        <b/>
        <sz val="11"/>
        <color theme="1"/>
        <rFont val="Calibri"/>
        <family val="2"/>
        <scheme val="minor"/>
      </rPr>
      <t>00851621000067</t>
    </r>
  </si>
  <si>
    <t>Bavaria Premium Lager +</t>
  </si>
  <si>
    <t>440 mL</t>
  </si>
  <si>
    <t xml:space="preserve">discontinued by supplier </t>
  </si>
  <si>
    <t>Hollandia Pilsner+</t>
  </si>
  <si>
    <t>Dab Dark Lager+</t>
  </si>
  <si>
    <t>Dab Lager+</t>
  </si>
  <si>
    <t>0363465</t>
  </si>
  <si>
    <t>0420034</t>
  </si>
  <si>
    <t>Collective Arts State Of Mind Session Ipa 6pk-Btl</t>
  </si>
  <si>
    <t>186360000024</t>
  </si>
  <si>
    <t>186360000093</t>
  </si>
  <si>
    <t>Delivery changed from LCBO to brewery</t>
  </si>
  <si>
    <t>Red Stripe Beer+</t>
  </si>
  <si>
    <t xml:space="preserve">083820568042 </t>
  </si>
  <si>
    <t>0449330</t>
  </si>
  <si>
    <t>Beau's Fous Allies Mango Saison  600ml</t>
  </si>
  <si>
    <t>013964841602</t>
  </si>
  <si>
    <t>600 mL</t>
  </si>
  <si>
    <t>0457887</t>
  </si>
  <si>
    <t>Beau's Tyrannosaurus Gruit</t>
  </si>
  <si>
    <t>013964841770</t>
  </si>
  <si>
    <t>0457895</t>
  </si>
  <si>
    <t>Beau's Embittermint Ipa</t>
  </si>
  <si>
    <t>013964841787</t>
  </si>
  <si>
    <t>0459008</t>
  </si>
  <si>
    <t>Beau's Elephant Monsoon</t>
  </si>
  <si>
    <t>013964998009</t>
  </si>
  <si>
    <t>Discontinued by supplier - Seasonal</t>
  </si>
  <si>
    <t>Fisheye Pale Ale (Ipa)</t>
  </si>
  <si>
    <t>Temporarily removed - Supply not available until the end of May</t>
  </si>
  <si>
    <t>Augusta Ale</t>
  </si>
  <si>
    <t>Old Milwaukee +</t>
  </si>
  <si>
    <t xml:space="preserve">Packaging issues reported April 18th resolved, available to order again.  </t>
  </si>
  <si>
    <t xml:space="preserve">Packaging issues reported April 28th resolved, available to order again.  </t>
  </si>
  <si>
    <t>Sam Adams Rebel Ipa</t>
  </si>
  <si>
    <r>
      <t xml:space="preserve">SCC code updated from SCC: 10087692001277 to SCC: </t>
    </r>
    <r>
      <rPr>
        <b/>
        <sz val="11"/>
        <color theme="1"/>
        <rFont val="Calibri"/>
        <family val="2"/>
        <scheme val="minor"/>
      </rPr>
      <t>087692001287</t>
    </r>
  </si>
  <si>
    <t>Jever Pilsener+</t>
  </si>
  <si>
    <t>Tennent's Original Export Lager +</t>
  </si>
  <si>
    <t>All Or Nothing Hopfenweisse Underdogs 6x473</t>
  </si>
  <si>
    <t>2838 mL</t>
  </si>
  <si>
    <t xml:space="preserve">Temporarily removed by supplier </t>
  </si>
  <si>
    <t>LEGENDARY ODDITY</t>
  </si>
  <si>
    <t>Glb Octopus Wants To Fight Ipa</t>
  </si>
  <si>
    <t>Lake Of Bays &amp; Nhl Alumni Top Shelf Classic Lag</t>
  </si>
  <si>
    <t>suspended at supplier's request</t>
  </si>
  <si>
    <t>Shock Top Raspberry Wheat</t>
  </si>
  <si>
    <t>Cameron's Lager 6 Pk-B</t>
  </si>
  <si>
    <t>2046 mL</t>
  </si>
  <si>
    <t>0418848</t>
  </si>
  <si>
    <t>Thornbury Jubilee Amber Lager 473ml</t>
  </si>
  <si>
    <t>674687100133</t>
  </si>
  <si>
    <t>0423137</t>
  </si>
  <si>
    <t>Thornbury Pickup Truck Pilsner 473ml</t>
  </si>
  <si>
    <t>674687100126</t>
  </si>
  <si>
    <t>delivery change to LCBO from Producer</t>
  </si>
  <si>
    <t>Amsterdam Natural Blonde</t>
  </si>
  <si>
    <t>Removed at supplier's request</t>
  </si>
  <si>
    <t>Collective Arts Project Black Ipa 473ml</t>
  </si>
  <si>
    <t>Big Rig Maibock</t>
  </si>
  <si>
    <t>Removed in error - available for order again</t>
  </si>
  <si>
    <t>(416) Local Lager</t>
  </si>
  <si>
    <t>Beau's Koru Belgian Ale</t>
  </si>
  <si>
    <t>KICHESIPPI RADLER</t>
  </si>
  <si>
    <t>temporarily removed - PRODUCT RECALL</t>
  </si>
  <si>
    <t>Nickelbrook Summer Pack 2016</t>
  </si>
  <si>
    <t>1892 mL</t>
  </si>
  <si>
    <r>
      <t xml:space="preserve">UPC code updated from 852500001304 to </t>
    </r>
    <r>
      <rPr>
        <b/>
        <sz val="11"/>
        <color theme="1"/>
        <rFont val="Calibri"/>
        <family val="2"/>
        <scheme val="minor"/>
      </rPr>
      <t>852500001465</t>
    </r>
  </si>
  <si>
    <t>Fuller's London Pride 4 Pk-C</t>
  </si>
  <si>
    <t>2000 mL</t>
  </si>
  <si>
    <t>Molson Canadian Cider - White Cranberry</t>
  </si>
  <si>
    <t>Smithavens Amber Solace</t>
  </si>
  <si>
    <t>Smithavens Brewing Dunkelweizen 500ml</t>
  </si>
  <si>
    <t>Dab Original Pilsner 6pk B+</t>
  </si>
  <si>
    <t>Cameron's Cream Ale 6 Pk-B</t>
  </si>
  <si>
    <t>Cameron's Auburn Ale 6 Pk-B</t>
  </si>
  <si>
    <t>Affligem Blonde Abbey Ale</t>
  </si>
  <si>
    <t>300 mL</t>
  </si>
  <si>
    <t>Mort Subite Kriek Lambic</t>
  </si>
  <si>
    <t>375 mL</t>
  </si>
  <si>
    <t>Melville's Ginger Beer</t>
  </si>
  <si>
    <t>Molson Canadian Cold Shots 6.0</t>
  </si>
  <si>
    <t>1000 mL</t>
  </si>
  <si>
    <t>Black Creek Pale Ale</t>
  </si>
  <si>
    <t>Trafalgar Irish Ale</t>
  </si>
  <si>
    <t>Trafalgar Maple Leaf Lager.</t>
  </si>
  <si>
    <t>Trafalgar Smoked Oatmeal Stout</t>
  </si>
  <si>
    <t>Trafalgar Chocolate Orange Porter</t>
  </si>
  <si>
    <t>Trafalgar The Mighty Oak</t>
  </si>
  <si>
    <t>Trafalgar Fresh Hop Harvest</t>
  </si>
  <si>
    <t>Raspberry Mint Pale Ale</t>
  </si>
  <si>
    <t>Ginger Beer</t>
  </si>
  <si>
    <t>Schwartzy Expresso Sweet Coffee Stout</t>
  </si>
  <si>
    <t>Wee Beastie-Scotch Ale</t>
  </si>
  <si>
    <t>Brasserie Des Quatre Lunes Witbier 375ml</t>
  </si>
  <si>
    <t>Montgomery's Courage</t>
  </si>
  <si>
    <t>Riel's Dream</t>
  </si>
  <si>
    <r>
      <t xml:space="preserve">12-pack discontinued - case pack changed from 12x500ml to 18x500ml - </t>
    </r>
    <r>
      <rPr>
        <b/>
        <sz val="11"/>
        <color theme="1"/>
        <rFont val="Calibri"/>
        <family val="2"/>
        <scheme val="minor"/>
      </rPr>
      <t xml:space="preserve">new LCBO# 477398; SCC changing from </t>
    </r>
    <r>
      <rPr>
        <sz val="11"/>
        <color theme="1"/>
        <rFont val="Calibri"/>
        <family val="2"/>
        <scheme val="minor"/>
      </rPr>
      <t>10839587000410</t>
    </r>
    <r>
      <rPr>
        <b/>
        <sz val="11"/>
        <color theme="1"/>
        <rFont val="Calibri"/>
        <family val="2"/>
        <scheme val="minor"/>
      </rPr>
      <t xml:space="preserve"> to 20839587000417</t>
    </r>
  </si>
  <si>
    <r>
      <t>12-pack discontinued - case pack changed from 12x500ml to 18x500ml -</t>
    </r>
    <r>
      <rPr>
        <b/>
        <sz val="11"/>
        <color theme="1"/>
        <rFont val="Calibri"/>
        <family val="2"/>
        <scheme val="minor"/>
      </rPr>
      <t xml:space="preserve"> new LCBO# 475236; SCC changing from </t>
    </r>
    <r>
      <rPr>
        <sz val="11"/>
        <color theme="1"/>
        <rFont val="Calibri"/>
        <family val="2"/>
        <scheme val="minor"/>
      </rPr>
      <t>10839587000113</t>
    </r>
    <r>
      <rPr>
        <b/>
        <sz val="11"/>
        <color theme="1"/>
        <rFont val="Calibri"/>
        <family val="2"/>
        <scheme val="minor"/>
      </rPr>
      <t xml:space="preserve"> to 20839587000110</t>
    </r>
  </si>
  <si>
    <t>Spearhead Hawaiian Style Pale Ale 6 Pk-B</t>
  </si>
  <si>
    <t>temporarily discontinued -  supplier is experiencing supply/production issues</t>
  </si>
  <si>
    <t>Brasserie Des Quatre Lunes Belgian Ipa 375ml</t>
  </si>
  <si>
    <t>Brasserie Des Quatre Lunes Belgian Blonde Ale 375</t>
  </si>
  <si>
    <t>all MILL ST. BREWERY 12-pack cans will have the following pallet configuration going forward: TI-HI: 24-07 (168 cases per pallet)</t>
  </si>
  <si>
    <t>various</t>
  </si>
  <si>
    <t>Old Vienna 473 Ml (Molson)</t>
  </si>
  <si>
    <t>re-activated all impacted stock removed, recall over</t>
  </si>
  <si>
    <t>Old Tomorrow Ginger Shandy</t>
  </si>
  <si>
    <t>Glutenberg Blonde</t>
  </si>
  <si>
    <r>
      <t xml:space="preserve">UPC code updated from 832958000524 to </t>
    </r>
    <r>
      <rPr>
        <b/>
        <sz val="11"/>
        <color theme="1"/>
        <rFont val="Calibri"/>
        <family val="2"/>
        <scheme val="minor"/>
      </rPr>
      <t>832958000517</t>
    </r>
  </si>
  <si>
    <t>Shiny Apple Cider</t>
  </si>
  <si>
    <t>Sapporo Premium Beer 4 Pk-C</t>
  </si>
  <si>
    <t>Delivery change to TBS from LCBO</t>
  </si>
  <si>
    <t>Belgian Moon Can +</t>
  </si>
  <si>
    <t>temporarily discontinued by supplier</t>
  </si>
  <si>
    <t>Plowman's Ale</t>
  </si>
  <si>
    <t>bottles discontinued, cans available: LCBO# 4549425</t>
  </si>
  <si>
    <t>Pugnacious Pale Ale</t>
  </si>
  <si>
    <t>Fuller's London Porter</t>
  </si>
  <si>
    <t>Sleeman Selections Pack Summer 2016</t>
  </si>
  <si>
    <t>Fullers London Pride 500ml</t>
  </si>
  <si>
    <t>Fullers London Porter</t>
  </si>
  <si>
    <t>replaces 369181: UPC/SCC will remain the same as 369181 : UPC = 5011885009786, SCC = 5011885009793</t>
  </si>
  <si>
    <t xml:space="preserve">Discontinued by supplier </t>
  </si>
  <si>
    <t>replaces  369140 - format change: UPC/SCC will remain the same as 369140 : UPC = 5011885002190, SCC = 5011885402211</t>
  </si>
  <si>
    <t>Beaus Og</t>
  </si>
  <si>
    <t>1892 ml</t>
  </si>
  <si>
    <t>Cameron's 4 PK Can Version 7</t>
  </si>
  <si>
    <t>Smithhavens Kellerbier</t>
  </si>
  <si>
    <t>Discontinued by supplier - case pack changing to 18 units from 12 units new LCBO# TBC</t>
  </si>
  <si>
    <t>Sunnyside Session Ipa</t>
  </si>
  <si>
    <t>Stella Legere 6 Pk-B+.</t>
  </si>
  <si>
    <t>Hop City Big Mouth Pale Ale</t>
  </si>
  <si>
    <t>Beau's Farm Table Pils</t>
  </si>
  <si>
    <t>Kichesippi Natural Blonde  6 Pk-B</t>
  </si>
  <si>
    <t>Kichesippi 1855 6 Pk-B</t>
  </si>
  <si>
    <t>Tracklayers Kolsch</t>
  </si>
  <si>
    <t>delivery change from LCBO to Brewery</t>
  </si>
  <si>
    <t>Sweetwater Squeeze Radler</t>
  </si>
  <si>
    <r>
      <t xml:space="preserve">new LCBO# and case pack have been assigned: - case pack changing to 18 units from 12 units new </t>
    </r>
    <r>
      <rPr>
        <b/>
        <sz val="11"/>
        <rFont val="Calibri"/>
        <family val="2"/>
        <scheme val="minor"/>
      </rPr>
      <t>LCBO# 480293, UPC = 839587000611, SCC = 10839587000618</t>
    </r>
  </si>
  <si>
    <t>Summer Mixer Pack 2016</t>
  </si>
  <si>
    <t>Muskoka Summerweiss</t>
  </si>
  <si>
    <t>Kichesippi Radler</t>
  </si>
  <si>
    <t>Lindeman's Framboise</t>
  </si>
  <si>
    <t>750 mL</t>
  </si>
  <si>
    <t>Discontinued by supplier - changing to 375 ml format, replacement date tbd</t>
  </si>
  <si>
    <t>Coors Altitude</t>
  </si>
  <si>
    <t>Samuel Adams Summer Ale</t>
  </si>
  <si>
    <t>Samuel Adams Octoberfest.</t>
  </si>
  <si>
    <t>temporarily removed due to UPC issue</t>
  </si>
  <si>
    <t>Wellington Special Pale Ale+</t>
  </si>
  <si>
    <t>Kickin Back Dry Hopped Session Ale</t>
  </si>
  <si>
    <t>Wellington County Brown Ale 6pk-B+</t>
  </si>
  <si>
    <t>delivery changing from supplier to TBS</t>
  </si>
  <si>
    <t>Abbot Ale</t>
  </si>
  <si>
    <r>
      <t xml:space="preserve">UPC/SCC codes updated from UPC: 5010549104614/SCC: 5010549204611 to </t>
    </r>
    <r>
      <rPr>
        <b/>
        <sz val="11"/>
        <color theme="1"/>
        <rFont val="Calibri"/>
        <family val="2"/>
        <scheme val="minor"/>
      </rPr>
      <t>UPC :5010549204611 /SCC : 5010549301501</t>
    </r>
  </si>
  <si>
    <t>Laker Lager  6 Pk-C</t>
  </si>
  <si>
    <r>
      <t xml:space="preserve">SCC updated from SCC : 10070310000868 to SCC: </t>
    </r>
    <r>
      <rPr>
        <b/>
        <sz val="11"/>
        <rFont val="Calibri"/>
        <family val="2"/>
        <scheme val="minor"/>
      </rPr>
      <t>20070310000889</t>
    </r>
  </si>
  <si>
    <t>Waterloo Premium Amber 475ml</t>
  </si>
  <si>
    <r>
      <t xml:space="preserve">SCC updated from SCC : 30620707111604 to SCC: </t>
    </r>
    <r>
      <rPr>
        <b/>
        <sz val="11"/>
        <rFont val="Calibri"/>
        <family val="2"/>
        <scheme val="minor"/>
      </rPr>
      <t>2062070731107</t>
    </r>
  </si>
  <si>
    <t>Martens Pilsner</t>
  </si>
  <si>
    <r>
      <t xml:space="preserve">SCC updated from SCC : 5411616000684 to SCC: </t>
    </r>
    <r>
      <rPr>
        <b/>
        <sz val="11"/>
        <rFont val="Calibri"/>
        <family val="2"/>
        <scheme val="minor"/>
      </rPr>
      <t>5411616001308</t>
    </r>
  </si>
  <si>
    <t>Creemore Springs Lot 9 Pilsner</t>
  </si>
  <si>
    <r>
      <t xml:space="preserve">SCC updated from SCC : 10627005804012 to SCC: </t>
    </r>
    <r>
      <rPr>
        <b/>
        <sz val="11"/>
        <rFont val="Calibri"/>
        <family val="2"/>
        <scheme val="minor"/>
      </rPr>
      <t>627005804084</t>
    </r>
  </si>
  <si>
    <t>Mad &amp; Noisy Hop &amp; Weizen</t>
  </si>
  <si>
    <r>
      <t xml:space="preserve">SCC updated from SCC : 10627005524019 to SCC: </t>
    </r>
    <r>
      <rPr>
        <b/>
        <sz val="11"/>
        <rFont val="Calibri"/>
        <family val="2"/>
        <scheme val="minor"/>
      </rPr>
      <t>627005524081</t>
    </r>
  </si>
  <si>
    <t>Hobgoblin Ale</t>
  </si>
  <si>
    <r>
      <t xml:space="preserve">UPC/SCC codes updated from UPC: 5031323001103/SCC: 5031323001158 to </t>
    </r>
    <r>
      <rPr>
        <b/>
        <sz val="11"/>
        <color theme="1"/>
        <rFont val="Calibri"/>
        <family val="2"/>
        <scheme val="minor"/>
      </rPr>
      <t>UPC :5023625004487 /SCC : 5023625004494</t>
    </r>
  </si>
  <si>
    <t>Smithavens Keller 18 X500ml.</t>
  </si>
  <si>
    <r>
      <t xml:space="preserve">SCC updated from SCC : 10839587000618 to SCC: </t>
    </r>
    <r>
      <rPr>
        <b/>
        <sz val="11"/>
        <rFont val="Calibri"/>
        <family val="2"/>
        <scheme val="minor"/>
      </rPr>
      <t>20839587000615</t>
    </r>
  </si>
  <si>
    <t>Tiger Beer 6 Pk-B</t>
  </si>
  <si>
    <r>
      <t xml:space="preserve">SCC updated from SCC : 86428257028 to SCC: </t>
    </r>
    <r>
      <rPr>
        <b/>
        <sz val="11"/>
        <rFont val="Calibri"/>
        <family val="2"/>
        <scheme val="minor"/>
      </rPr>
      <t>86428210399</t>
    </r>
  </si>
  <si>
    <t>Old Speckled Hen 4 Pk-C +</t>
  </si>
  <si>
    <r>
      <t xml:space="preserve">UPC/SCC codes updated from UPC: 5023887000586/SCC: 5023887000807 to </t>
    </r>
    <r>
      <rPr>
        <b/>
        <sz val="11"/>
        <color theme="1"/>
        <rFont val="Calibri"/>
        <family val="2"/>
        <scheme val="minor"/>
      </rPr>
      <t>UPC :5010549305745 /SCC : 5010549305752</t>
    </r>
  </si>
  <si>
    <t>Old Speckled Hen 6 Pk-B+</t>
  </si>
  <si>
    <r>
      <t xml:space="preserve">UPC/SCC codes updated from UPC: 605800500080/SCC: 5023887000807 to </t>
    </r>
    <r>
      <rPr>
        <b/>
        <sz val="11"/>
        <color theme="1"/>
        <rFont val="Calibri"/>
        <family val="2"/>
        <scheme val="minor"/>
      </rPr>
      <t>UPC :605800000146 /SCC : 605800000153</t>
    </r>
  </si>
  <si>
    <t>Creemore Springs Premium Lager  6 Pk-B</t>
  </si>
  <si>
    <r>
      <t xml:space="preserve">SCC updated from SCC : 80627005060066 to SCC: </t>
    </r>
    <r>
      <rPr>
        <b/>
        <sz val="11"/>
        <rFont val="Calibri"/>
        <family val="2"/>
        <scheme val="minor"/>
      </rPr>
      <t>10627005060067</t>
    </r>
  </si>
  <si>
    <t>Blanche De Chambly 6 Pk-B</t>
  </si>
  <si>
    <r>
      <t xml:space="preserve">SCC updated from SCC : 80772285021006 to SCC: </t>
    </r>
    <r>
      <rPr>
        <b/>
        <sz val="11"/>
        <rFont val="Calibri"/>
        <family val="2"/>
        <scheme val="minor"/>
      </rPr>
      <t>20772285026511</t>
    </r>
  </si>
  <si>
    <t>Beaus Farm Table Ipa</t>
  </si>
  <si>
    <t>Brakeman Session Ale</t>
  </si>
  <si>
    <t>Conductor's Craft Ale</t>
  </si>
  <si>
    <t>Railway City Orange Creamsic Ale</t>
  </si>
  <si>
    <t>delivery changing from LCBO to supplier</t>
  </si>
  <si>
    <t>Genius Of Suburbia Can</t>
  </si>
  <si>
    <t>870766000060</t>
  </si>
  <si>
    <t>Discontinued by supplier - replaced with 474429 Deep Tracks American Brown Ale 473 ml can</t>
  </si>
  <si>
    <t>Deep Tracks Flying Monkeys Craft Brewery 750ml</t>
  </si>
  <si>
    <t>870766000138</t>
  </si>
  <si>
    <t>Shock Top</t>
  </si>
  <si>
    <t>62067166358</t>
  </si>
  <si>
    <r>
      <t xml:space="preserve">SCC updated from SCC : 70062067166357 to SCC: </t>
    </r>
    <r>
      <rPr>
        <b/>
        <sz val="11"/>
        <rFont val="Calibri"/>
        <family val="2"/>
        <scheme val="minor"/>
      </rPr>
      <t>62067166907</t>
    </r>
  </si>
  <si>
    <t>Wild North Pumpkin Autumn</t>
  </si>
  <si>
    <t>Somersby Elderflower Lime Cider 500ml</t>
  </si>
  <si>
    <t>Marston's Oyster  Stout</t>
  </si>
  <si>
    <t>Hillier Creek Colonel's Cuvee Ddp</t>
  </si>
  <si>
    <t>removed by supplier - delivery changing from Supplier to LCBO</t>
  </si>
  <si>
    <t>TBD</t>
  </si>
  <si>
    <t>Cooper's Hawk Rose Vqa Ddp</t>
  </si>
  <si>
    <t>Coopers Hawk Cabernet Merlot Reserve Ddp</t>
  </si>
  <si>
    <t>Cooper's Hawk Touche Vqa Ddp</t>
  </si>
  <si>
    <t>Cooper's Hawk Unoaked Chardonnay Vqa Ddp</t>
  </si>
  <si>
    <t>Removed at supplier's request - temporarily out of stock - delivery to change from PRODUCER to LCBO when available again</t>
  </si>
  <si>
    <t>removed temporarily - delivery changing from PRODUCER to LCBO</t>
  </si>
  <si>
    <t>John R Molson 1908</t>
  </si>
  <si>
    <t>Black Creek Olde Stout</t>
  </si>
  <si>
    <t>Schwartzy Sweet Stout</t>
  </si>
  <si>
    <t>Sprucewood Shores Pinot Grigio Vqa Ddp</t>
  </si>
  <si>
    <r>
      <t>UPC code updated from 840712001243 to</t>
    </r>
    <r>
      <rPr>
        <b/>
        <sz val="11"/>
        <color theme="1"/>
        <rFont val="Calibri"/>
        <family val="2"/>
        <scheme val="minor"/>
      </rPr>
      <t xml:space="preserve"> 840712001373</t>
    </r>
  </si>
  <si>
    <t>Old Tomorrow Monty's Golden Ryed Ale</t>
  </si>
  <si>
    <t>660 mL</t>
  </si>
  <si>
    <t>Discontinued by supplier - transitioning into a 473ml can in 2017</t>
  </si>
  <si>
    <t>Creemore Collection Pack - 6 Cans 2015</t>
  </si>
  <si>
    <t>Creemore Spring Pack 2016</t>
  </si>
  <si>
    <t>The Creemore Collection - Winter.</t>
  </si>
  <si>
    <t>Creemore Kolsch Ale</t>
  </si>
  <si>
    <t>Creemore Kellerbier</t>
  </si>
  <si>
    <t>625 mL</t>
  </si>
  <si>
    <t>Creemore Springs Oktoberfest Lager</t>
  </si>
  <si>
    <t>Collective Arts Project Sour Pumpkin Saison 473-C</t>
  </si>
  <si>
    <t>C/Arta Project Seasonal 3x2</t>
  </si>
  <si>
    <t>delivery changed from LCBO to brewery</t>
  </si>
  <si>
    <t>California Square Red Blend Paso Robles</t>
  </si>
  <si>
    <r>
      <t xml:space="preserve">UPC Code updated from 812485010814 to </t>
    </r>
    <r>
      <rPr>
        <b/>
        <sz val="11"/>
        <color theme="1"/>
        <rFont val="Calibri"/>
        <family val="2"/>
        <scheme val="minor"/>
      </rPr>
      <t xml:space="preserve">812485010838, </t>
    </r>
    <r>
      <rPr>
        <sz val="11"/>
        <color theme="1"/>
        <rFont val="Calibri"/>
        <family val="2"/>
        <scheme val="minor"/>
      </rPr>
      <t xml:space="preserve">SCC code updated from 10812485010811 to </t>
    </r>
    <r>
      <rPr>
        <b/>
        <sz val="11"/>
        <color theme="1"/>
        <rFont val="Calibri"/>
        <family val="2"/>
        <scheme val="minor"/>
      </rPr>
      <t>10812485010835</t>
    </r>
  </si>
  <si>
    <t>Moosehead Radler</t>
  </si>
  <si>
    <t>Kw Craft Cider</t>
  </si>
  <si>
    <t>1320 mL</t>
  </si>
  <si>
    <t>delivery changing from PRODUCER to LCBO</t>
  </si>
  <si>
    <t>The Publican's House O'Leerie Stout</t>
  </si>
  <si>
    <t>Lake Wilcox Brewing Mad Quacker</t>
  </si>
  <si>
    <t>Lake Wilcox Brewing Black Hops</t>
  </si>
  <si>
    <t>delivery changing from PRODUCER to TBS</t>
  </si>
  <si>
    <t>Colchester Ridge Posh Cuvee Vqa Ddp</t>
  </si>
  <si>
    <r>
      <t xml:space="preserve">UPC code updated from 851071000129 to </t>
    </r>
    <r>
      <rPr>
        <b/>
        <sz val="11"/>
        <color theme="1"/>
        <rFont val="Calibri"/>
        <family val="2"/>
        <scheme val="minor"/>
      </rPr>
      <t>851071000297;</t>
    </r>
    <r>
      <rPr>
        <sz val="11"/>
        <color theme="1"/>
        <rFont val="Calibri"/>
        <family val="2"/>
        <scheme val="minor"/>
      </rPr>
      <t xml:space="preserve"> SCC code updated from 10851071000126 to </t>
    </r>
    <r>
      <rPr>
        <b/>
        <sz val="11"/>
        <color theme="1"/>
        <rFont val="Calibri"/>
        <family val="2"/>
        <scheme val="minor"/>
      </rPr>
      <t>1085107100029</t>
    </r>
  </si>
  <si>
    <t>Highlander Blacksmith Smoked Porter</t>
  </si>
  <si>
    <t>650 mL</t>
  </si>
  <si>
    <r>
      <t xml:space="preserve">UPC code changing from 627843230106 to </t>
    </r>
    <r>
      <rPr>
        <b/>
        <sz val="11"/>
        <color theme="1"/>
        <rFont val="Calibri"/>
        <family val="2"/>
        <scheme val="minor"/>
      </rPr>
      <t xml:space="preserve">628055930242 ; </t>
    </r>
    <r>
      <rPr>
        <sz val="11"/>
        <color theme="1"/>
        <rFont val="Calibri"/>
        <family val="2"/>
        <scheme val="minor"/>
      </rPr>
      <t>SCC code changing from 10627843230103</t>
    </r>
    <r>
      <rPr>
        <b/>
        <sz val="11"/>
        <color theme="1"/>
        <rFont val="Calibri"/>
        <family val="2"/>
        <scheme val="minor"/>
      </rPr>
      <t xml:space="preserve"> to 10628055930249 </t>
    </r>
  </si>
  <si>
    <t>Pisse-Dru Beaujolais</t>
  </si>
  <si>
    <r>
      <t xml:space="preserve">SCC code updated from 03040072650151 to </t>
    </r>
    <r>
      <rPr>
        <b/>
        <sz val="11"/>
        <color theme="1"/>
        <rFont val="Calibri"/>
        <family val="2"/>
        <scheme val="minor"/>
      </rPr>
      <t>03040072510622</t>
    </r>
  </si>
  <si>
    <t>The Publican's House Roaring Rotarian+</t>
  </si>
  <si>
    <t>0620989</t>
  </si>
  <si>
    <t>Hoya De Cadenas Reserva</t>
  </si>
  <si>
    <t>8410310085628</t>
  </si>
  <si>
    <t>Removed at supplier's request - temporarily out of stock</t>
  </si>
  <si>
    <t>0463380</t>
  </si>
  <si>
    <t xml:space="preserve">Smithavens Brewing Blonde </t>
  </si>
  <si>
    <t>839587000239</t>
  </si>
  <si>
    <t>2250 mL</t>
  </si>
  <si>
    <t>0460030</t>
  </si>
  <si>
    <t>839587000215</t>
  </si>
  <si>
    <t>Collective Arts Project Papaya Saison</t>
  </si>
  <si>
    <t>Kichesippi Stout</t>
  </si>
  <si>
    <t>Creemore Springs Altbier.</t>
  </si>
  <si>
    <t>0317222</t>
  </si>
  <si>
    <t>Propeller IPA 6 PK-B</t>
  </si>
  <si>
    <t>627587050107</t>
  </si>
  <si>
    <t>NAUGHTY OTTER LAGER</t>
  </si>
  <si>
    <t>supplying source has changed to brewery</t>
  </si>
  <si>
    <t>Wernesgruner Pilsner  +</t>
  </si>
  <si>
    <r>
      <t xml:space="preserve">UPC code updated from 613395000052 to </t>
    </r>
    <r>
      <rPr>
        <b/>
        <sz val="11"/>
        <rFont val="Calibri"/>
        <family val="2"/>
        <scheme val="minor"/>
      </rPr>
      <t>4015444000055</t>
    </r>
  </si>
  <si>
    <t>Bodacious Blueberry Blonde</t>
  </si>
  <si>
    <r>
      <t xml:space="preserve">UPC codeupdated from 812652000020 to </t>
    </r>
    <r>
      <rPr>
        <b/>
        <sz val="11"/>
        <color theme="1"/>
        <rFont val="Calibri"/>
        <family val="2"/>
        <scheme val="minor"/>
      </rPr>
      <t>012652000024</t>
    </r>
  </si>
  <si>
    <t>Lake Of Bays Sunset Ale+</t>
  </si>
  <si>
    <t>Discontinued by supplier - replaced by 487116 (473 ml can)</t>
  </si>
  <si>
    <t>Collective Arts Apple &amp; Cherry Cider</t>
  </si>
  <si>
    <t>Sandbanks Sleeping Giant/Mouton Noir Vqa</t>
  </si>
  <si>
    <t>Discontinued by supplier - stock currently depleted</t>
  </si>
  <si>
    <t>Rickards Red Session</t>
  </si>
  <si>
    <t>format discontinued by supplier</t>
  </si>
  <si>
    <t>Girls' Night Out Sparkling Vqa</t>
  </si>
  <si>
    <t>Girls' Night Out Sparkl Rose Vqa</t>
  </si>
  <si>
    <t>Lily Sparkling Wine Vqa</t>
  </si>
  <si>
    <t>temporarily  discontinued - stock out</t>
  </si>
  <si>
    <t>Fresh Ideas Sparkling Riesling Vqa*</t>
  </si>
  <si>
    <r>
      <t>UPC/SCC codes updated from: UPC: 874537197140/SCC: 10874537197147 to</t>
    </r>
    <r>
      <rPr>
        <b/>
        <sz val="11"/>
        <color theme="1"/>
        <rFont val="Calibri"/>
        <family val="2"/>
        <scheme val="minor"/>
      </rPr>
      <t xml:space="preserve"> UPC: 874537197133/SCC: 10874537197130</t>
    </r>
  </si>
  <si>
    <t>Labatt Blue Ice</t>
  </si>
  <si>
    <r>
      <t xml:space="preserve">UPC/SCC codes updating from  UPC: 062067555350 SCC: 70062067555359 to </t>
    </r>
    <r>
      <rPr>
        <b/>
        <sz val="11"/>
        <color theme="1"/>
        <rFont val="Calibri"/>
        <family val="2"/>
        <scheme val="minor"/>
      </rPr>
      <t>UPC: 062067555909 SCC : 70062067555908</t>
    </r>
    <r>
      <rPr>
        <sz val="11"/>
        <color theme="1"/>
        <rFont val="Calibri"/>
        <family val="2"/>
        <scheme val="minor"/>
      </rPr>
      <t xml:space="preserve"> </t>
    </r>
  </si>
  <si>
    <t>Masi Modello Delle Venezie Bianco Igt</t>
  </si>
  <si>
    <r>
      <t xml:space="preserve">SCC code updated from 08002062008705 to </t>
    </r>
    <r>
      <rPr>
        <b/>
        <sz val="11"/>
        <color theme="1"/>
        <rFont val="Calibri"/>
        <family val="2"/>
        <scheme val="minor"/>
      </rPr>
      <t>08002062009160</t>
    </r>
  </si>
  <si>
    <t>Abe Erb Brewing Men In Night Stout 473 C</t>
  </si>
  <si>
    <t>temporarily unavailable</t>
  </si>
  <si>
    <t>Beaus Farm Table  Marzen</t>
  </si>
  <si>
    <t>056910002160</t>
  </si>
  <si>
    <t>0586610</t>
  </si>
  <si>
    <t>0560995</t>
  </si>
  <si>
    <t>2/6/17</t>
  </si>
  <si>
    <t>0493916</t>
  </si>
  <si>
    <t>056910401703</t>
  </si>
  <si>
    <t>Old Milwaukee 6 PK-C  6x355 mL</t>
  </si>
  <si>
    <t>Discontinued by supplier (replace with LCBO# 0493916 Old Milwaukee 6 pk C 2838 mL)</t>
  </si>
  <si>
    <t>056910401338</t>
  </si>
  <si>
    <t>New product available for ordering (replaces LCBO Item #586610)</t>
  </si>
  <si>
    <t xml:space="preserve">Old Milwaukee 6 PK-C  6 x 473 ml </t>
  </si>
  <si>
    <t xml:space="preserve">Old Milwaukee 6 PK-C   6 x 473 ml </t>
  </si>
  <si>
    <t>0266023</t>
  </si>
  <si>
    <t>Mionetto Prosecco Treviso</t>
  </si>
  <si>
    <t>727760501690</t>
  </si>
  <si>
    <t>0308189</t>
  </si>
  <si>
    <t>Luis Felipe Edwards Reserva Shiraz Cab Sauv</t>
  </si>
  <si>
    <t>7804414005476</t>
  </si>
  <si>
    <t>0352054</t>
  </si>
  <si>
    <t>Montes Twins Malbec Cabernet Sauvignon</t>
  </si>
  <si>
    <t>715126000000</t>
  </si>
  <si>
    <t>0399535</t>
  </si>
  <si>
    <t>Scrubby Rise Sauvignon Blanc Semillon Viognier</t>
  </si>
  <si>
    <t>9315125150990</t>
  </si>
  <si>
    <t>0404491</t>
  </si>
  <si>
    <t>Mauro Chardonnay</t>
  </si>
  <si>
    <t>8032610310981</t>
  </si>
  <si>
    <t>0440156</t>
  </si>
  <si>
    <t>Montes Twins White Blend</t>
  </si>
  <si>
    <t>715126000338</t>
  </si>
  <si>
    <t>0441550</t>
  </si>
  <si>
    <t>Wakefield Promised Land Unwooded Chardonnay</t>
  </si>
  <si>
    <t>9311659000640</t>
  </si>
  <si>
    <t>0441568</t>
  </si>
  <si>
    <t>Hahn Winery Gsm</t>
  </si>
  <si>
    <t>086788000470</t>
  </si>
  <si>
    <t>Discontinued</t>
  </si>
  <si>
    <t>2/7/17</t>
  </si>
  <si>
    <t>2/13/17</t>
  </si>
  <si>
    <t>0346452</t>
  </si>
  <si>
    <t>Carling Lager TC</t>
  </si>
  <si>
    <t>056327004146</t>
  </si>
  <si>
    <t>Discontinued by supplier (replace with LCBO# 0478412 Old Style Pilsner 473 ml; 12 units per case)</t>
  </si>
  <si>
    <t>0478412</t>
  </si>
  <si>
    <t>0488411</t>
  </si>
  <si>
    <t>Carling 6 Pk Can  6 x 473 mL</t>
  </si>
  <si>
    <t>Old Style Pilsner (12 units per case)</t>
  </si>
  <si>
    <t>Old Style Pilsner (24 units per case)</t>
  </si>
  <si>
    <t>056327593930</t>
  </si>
  <si>
    <r>
      <t xml:space="preserve">New product available for ordering &amp; </t>
    </r>
    <r>
      <rPr>
        <b/>
        <sz val="11"/>
        <color theme="1"/>
        <rFont val="Calibri"/>
        <family val="2"/>
        <scheme val="minor"/>
      </rPr>
      <t>same UPC</t>
    </r>
    <r>
      <rPr>
        <sz val="11"/>
        <color theme="1"/>
        <rFont val="Calibri"/>
        <family val="2"/>
        <scheme val="minor"/>
      </rPr>
      <t xml:space="preserve"> as LCBO Item #38265  (replaces LCBO Item #38265 Carling Lager 473 ml can)</t>
    </r>
  </si>
  <si>
    <r>
      <t xml:space="preserve">New product available for ordering &amp; </t>
    </r>
    <r>
      <rPr>
        <b/>
        <sz val="11"/>
        <color theme="1"/>
        <rFont val="Calibri"/>
        <family val="2"/>
        <scheme val="minor"/>
      </rPr>
      <t>same UPC</t>
    </r>
    <r>
      <rPr>
        <sz val="11"/>
        <color theme="1"/>
        <rFont val="Calibri"/>
        <family val="2"/>
        <scheme val="minor"/>
      </rPr>
      <t xml:space="preserve"> as LCBO Item #346452 (replaces LCBO Item #346452; 24 units per case)</t>
    </r>
  </si>
  <si>
    <t>0428805</t>
  </si>
  <si>
    <t>Woodwork Chardonnay</t>
  </si>
  <si>
    <t>080720962499</t>
  </si>
  <si>
    <t>0568055</t>
  </si>
  <si>
    <t>Casillero Del Diablo Rsv Shiraz</t>
  </si>
  <si>
    <t>0358952</t>
  </si>
  <si>
    <t>Matua Marlborough Pinot Noir</t>
  </si>
  <si>
    <t>9415305236053</t>
  </si>
  <si>
    <t xml:space="preserve">7804320510170 </t>
  </si>
  <si>
    <t>Stoney Ridge Pinot Noir Vqa</t>
  </si>
  <si>
    <t>Discontinued - stock-out</t>
  </si>
  <si>
    <t>Chardonnay Quarry Road(Tawse)</t>
  </si>
  <si>
    <r>
      <t>UPC/SCC codes updated from UPC = 670459006207/SCC = 10670459006204 to</t>
    </r>
    <r>
      <rPr>
        <b/>
        <sz val="11"/>
        <rFont val="Calibri"/>
        <family val="2"/>
        <scheme val="minor"/>
      </rPr>
      <t xml:space="preserve"> UPC = 670459006696/SCC = 10670459006693</t>
    </r>
  </si>
  <si>
    <t>G. Marquis The Red Line Pinot Grigio Vqa</t>
  </si>
  <si>
    <r>
      <t xml:space="preserve">UPC/SCC codes updating from UPC: 727530552648 / SCC:10727530552645 to </t>
    </r>
    <r>
      <rPr>
        <b/>
        <sz val="11"/>
        <rFont val="Calibri"/>
        <family val="2"/>
        <scheme val="minor"/>
      </rPr>
      <t>UPC:727530558886 / SCC: 10727530558883</t>
    </r>
  </si>
  <si>
    <t>0131490</t>
  </si>
  <si>
    <t>Muskoka Cream Ale</t>
  </si>
  <si>
    <t>628669010019</t>
  </si>
  <si>
    <t>0175810</t>
  </si>
  <si>
    <t>Muskoka Craft Lager</t>
  </si>
  <si>
    <t>628669020018</t>
  </si>
  <si>
    <t>0288837</t>
  </si>
  <si>
    <t>Muskoka Mad Tom Ipa</t>
  </si>
  <si>
    <t>628669010101</t>
  </si>
  <si>
    <t>0404301</t>
  </si>
  <si>
    <t>Mad Tom Ipa</t>
  </si>
  <si>
    <t>628669060014</t>
  </si>
  <si>
    <t>0404327</t>
  </si>
  <si>
    <t>628669072017</t>
  </si>
  <si>
    <t>0404335</t>
  </si>
  <si>
    <t>Muskoka Detour</t>
  </si>
  <si>
    <t>628669062018</t>
  </si>
  <si>
    <t>0404368</t>
  </si>
  <si>
    <t>628669010200</t>
  </si>
  <si>
    <t>0442673</t>
  </si>
  <si>
    <t>Muskoka Winterweiss</t>
  </si>
  <si>
    <t>628669010040</t>
  </si>
  <si>
    <t>0449348</t>
  </si>
  <si>
    <t>Muskoka Craft Lager+</t>
  </si>
  <si>
    <t>628669076015</t>
  </si>
  <si>
    <t>0464107</t>
  </si>
  <si>
    <t>Kirbys Kolsch</t>
  </si>
  <si>
    <t>628669010309</t>
  </si>
  <si>
    <t>0474361</t>
  </si>
  <si>
    <t>Muskoka Survival Pack Winter 2016+</t>
  </si>
  <si>
    <t>628669018077</t>
  </si>
  <si>
    <t>0484972</t>
  </si>
  <si>
    <t>Shinnicked Stout</t>
  </si>
  <si>
    <t>628669012020</t>
  </si>
  <si>
    <r>
      <t xml:space="preserve">supplying source changing from LCBO - 0001 to </t>
    </r>
    <r>
      <rPr>
        <b/>
        <sz val="11"/>
        <color theme="1"/>
        <rFont val="Calibri"/>
        <family val="2"/>
        <scheme val="minor"/>
      </rPr>
      <t>producer: LAKES OF MUSKOKA COTTAGE BREWERY - 3436</t>
    </r>
  </si>
  <si>
    <t>Tio Pepe Extra Dry Fino Sherry.</t>
  </si>
  <si>
    <t>12cabernet Sauvignon (Foreign Affair)</t>
  </si>
  <si>
    <t>Gnarly Head Pinot Noir</t>
  </si>
  <si>
    <r>
      <t xml:space="preserve">UPC/SCC codes updated from UPC: 082242293433 / SCC : 10822422934339 to </t>
    </r>
    <r>
      <rPr>
        <b/>
        <sz val="11"/>
        <color theme="1"/>
        <rFont val="Calibri"/>
        <family val="2"/>
        <scheme val="minor"/>
      </rPr>
      <t>UPC: 1220000070103 / SCC : 10082242293430</t>
    </r>
    <r>
      <rPr>
        <sz val="11"/>
        <color theme="1"/>
        <rFont val="Calibri"/>
        <family val="2"/>
        <scheme val="minor"/>
      </rPr>
      <t xml:space="preserve"> </t>
    </r>
  </si>
  <si>
    <t>Gnarly Head Cabernet Sauvignon</t>
  </si>
  <si>
    <r>
      <t xml:space="preserve">UPC/SCC codes updated from UPC: 082242290432 / SCC : 10822422904325 to </t>
    </r>
    <r>
      <rPr>
        <b/>
        <sz val="11"/>
        <color theme="1"/>
        <rFont val="Calibri"/>
        <family val="2"/>
        <scheme val="minor"/>
      </rPr>
      <t>UPC: 1220000070097 / SCC : 10082242290439</t>
    </r>
  </si>
  <si>
    <t>Railway City Brewing Co - Holiday Gift Pack**</t>
  </si>
  <si>
    <t>1419 mL</t>
  </si>
  <si>
    <t>Sleeman Honey Brown Lager</t>
  </si>
  <si>
    <r>
      <t xml:space="preserve">SCC code changing from 20056910234756 to </t>
    </r>
    <r>
      <rPr>
        <b/>
        <sz val="11"/>
        <rFont val="Calibri"/>
        <family val="2"/>
        <scheme val="minor"/>
      </rPr>
      <t>SCC = 20056910234732</t>
    </r>
    <r>
      <rPr>
        <sz val="11"/>
        <rFont val="Calibri"/>
        <family val="2"/>
        <scheme val="minor"/>
      </rPr>
      <t xml:space="preserve">. </t>
    </r>
    <r>
      <rPr>
        <u/>
        <sz val="11"/>
        <rFont val="Calibri"/>
        <family val="2"/>
        <scheme val="minor"/>
      </rPr>
      <t>No change to the UPC code</t>
    </r>
  </si>
  <si>
    <t>Beaus Gigantic La Formidable</t>
  </si>
  <si>
    <t>Steam Whistle Premium Pilsner</t>
  </si>
  <si>
    <t>Steam Whistle Pilsner 6x500ml</t>
  </si>
  <si>
    <t>3000 mL</t>
  </si>
  <si>
    <r>
      <t>500mL format to be discontinued and replaced with 473mL format -</t>
    </r>
    <r>
      <rPr>
        <b/>
        <sz val="11"/>
        <rFont val="Calibri"/>
        <family val="2"/>
        <scheme val="minor"/>
      </rPr>
      <t xml:space="preserve"> NEW LCBO# 492009. NEW UPC = 0702915003014 NEW SCC = 80702915003010</t>
    </r>
  </si>
  <si>
    <r>
      <t xml:space="preserve">500mL x 6 format to be discontinued and replaced with 473mL x 6 format - </t>
    </r>
    <r>
      <rPr>
        <b/>
        <sz val="11"/>
        <rFont val="Calibri"/>
        <family val="2"/>
        <scheme val="minor"/>
      </rPr>
      <t>NEW LCBO# 448191. NEW UPC = 0702915001041 NEW SCC = 10702915001048</t>
    </r>
  </si>
  <si>
    <t>Samuel Adams Boston Lager+</t>
  </si>
  <si>
    <r>
      <t xml:space="preserve">UPC code update Old UPC: 087692000945 </t>
    </r>
    <r>
      <rPr>
        <b/>
        <sz val="11"/>
        <color theme="1"/>
        <rFont val="Calibri"/>
        <family val="2"/>
        <scheme val="minor"/>
      </rPr>
      <t>NEW UPC 87692004066</t>
    </r>
  </si>
  <si>
    <t>Molson Canadian Cider 6 Pk-B</t>
  </si>
  <si>
    <t>Alexander Keith's Original Cider</t>
  </si>
  <si>
    <r>
      <t xml:space="preserve">codes updated 2/27/17 in error - correct UPC/SCC - </t>
    </r>
    <r>
      <rPr>
        <b/>
        <sz val="11"/>
        <rFont val="Calibri"/>
        <family val="2"/>
        <scheme val="minor"/>
      </rPr>
      <t xml:space="preserve">UPC: 628055930242 / SCC: 10628055930249 </t>
    </r>
  </si>
  <si>
    <t>Pelee Pebbles Baco-Gamay Noir Zweigelt</t>
  </si>
  <si>
    <t>Pelee Pebbles Vidal Hibernal</t>
  </si>
  <si>
    <t>Molson Canadian Stone Fruit Cider</t>
  </si>
  <si>
    <t>Sir Isaac's Premium Pear Cider</t>
  </si>
  <si>
    <t>Beau's St Lukes Verse</t>
  </si>
  <si>
    <t>Discontinued by supplier - seasonal</t>
  </si>
  <si>
    <t>Black Oak Nut Cracker Porter (W).</t>
  </si>
  <si>
    <t>Rapscallion Wine Company Crappy Wine Crappy Red</t>
  </si>
  <si>
    <t>Smithavens Taster Pack 6x500 Btl</t>
  </si>
  <si>
    <t>Rememberance Red</t>
  </si>
  <si>
    <t>Removed - retail price dropping below grocery floor price on March 26; product recall to be issued on Monday March 26</t>
  </si>
  <si>
    <t>0560524</t>
  </si>
  <si>
    <t>Lamberti Santepietre P Grigio Delle Venezie</t>
  </si>
  <si>
    <t>8000160611179</t>
  </si>
  <si>
    <t>Swingbridge Blonde Ale</t>
  </si>
  <si>
    <t>0467266</t>
  </si>
  <si>
    <t xml:space="preserve">627843528050 </t>
  </si>
  <si>
    <r>
      <t xml:space="preserve">supplying source changing from  </t>
    </r>
    <r>
      <rPr>
        <sz val="11"/>
        <color theme="1"/>
        <rFont val="Calibri"/>
        <family val="2"/>
        <scheme val="minor"/>
      </rPr>
      <t>producer: MANITOULIN BREWING -  0402</t>
    </r>
    <r>
      <rPr>
        <b/>
        <sz val="11"/>
        <color theme="1"/>
        <rFont val="Calibri"/>
        <family val="2"/>
        <scheme val="minor"/>
      </rPr>
      <t xml:space="preserve"> to  LCBO - 0001 </t>
    </r>
  </si>
  <si>
    <t>CESARI SOAVE CLASSICO DOC</t>
  </si>
  <si>
    <t>Removed - retail price dropping below grocery floor price on April 23rd; product recall to be issued on Monday April 23rd</t>
  </si>
  <si>
    <t>Bord Du Lac Saison</t>
  </si>
  <si>
    <t>Beau's Vianna Lager</t>
  </si>
  <si>
    <t>Beau's Return Of The Mumme</t>
  </si>
  <si>
    <t>Beau's Ginger Wolf</t>
  </si>
  <si>
    <t>Beau's Bush Fire</t>
  </si>
  <si>
    <t>Coors Light Wide Mouth</t>
  </si>
  <si>
    <t>Molson Canadian Wide Mouth</t>
  </si>
  <si>
    <t>Bear Runner Blonde Ale+</t>
  </si>
  <si>
    <t>unavailable</t>
  </si>
  <si>
    <t>Beau's Strong Patrick.</t>
  </si>
  <si>
    <t>Torres Infinite Catalunya</t>
  </si>
  <si>
    <t>Dan Aykroyd Cabernet Merlot Vqa.</t>
  </si>
  <si>
    <t>Eastdell Black Cab Vqa</t>
  </si>
  <si>
    <t>1500 mL</t>
  </si>
  <si>
    <t>15 Pinot Grigio (Peninsula Ridge)</t>
  </si>
  <si>
    <r>
      <t>EFFECTIVE IMMEDIATELY : Product name has changed from AJ Lepp Pinot Grigio to</t>
    </r>
    <r>
      <rPr>
        <b/>
        <sz val="11"/>
        <color theme="1"/>
        <rFont val="Calibri"/>
        <family val="2"/>
        <scheme val="minor"/>
      </rPr>
      <t xml:space="preserve"> 15 Pinot Grigio (Peninsula Ridge)</t>
    </r>
    <r>
      <rPr>
        <sz val="11"/>
        <color theme="1"/>
        <rFont val="Calibri"/>
        <family val="2"/>
        <scheme val="minor"/>
      </rPr>
      <t xml:space="preserve"> ; EFFECTIVE APRIL 14 UPC code changes from UPC: 809381016002 to </t>
    </r>
    <r>
      <rPr>
        <b/>
        <sz val="11"/>
        <color theme="1"/>
        <rFont val="Calibri"/>
        <family val="2"/>
        <scheme val="minor"/>
      </rPr>
      <t>UPC: 809381016255</t>
    </r>
    <r>
      <rPr>
        <sz val="11"/>
        <color theme="1"/>
        <rFont val="Calibri"/>
        <family val="2"/>
        <scheme val="minor"/>
      </rPr>
      <t>, SCC code changes from 10809381016009 to</t>
    </r>
    <r>
      <rPr>
        <b/>
        <sz val="11"/>
        <color theme="1"/>
        <rFont val="Calibri"/>
        <family val="2"/>
        <scheme val="minor"/>
      </rPr>
      <t xml:space="preserve"> SCC: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10809381016252</t>
    </r>
  </si>
  <si>
    <t>Collective Arts Project Gose</t>
  </si>
  <si>
    <t>Highlander Scottish Ale</t>
  </si>
  <si>
    <r>
      <t xml:space="preserve">UPC/SCC changing. Old UPC = 627843230076 ; old SCC = 10627843230073 ; </t>
    </r>
    <r>
      <rPr>
        <b/>
        <sz val="11"/>
        <color theme="1"/>
        <rFont val="Calibri"/>
        <family val="2"/>
        <scheme val="minor"/>
      </rPr>
      <t>new UPC = 628055930211 ; new SCC = 10628055930218</t>
    </r>
  </si>
  <si>
    <t>15 Marsanne (Kew Vineyard Estate Winery)</t>
  </si>
  <si>
    <r>
      <t xml:space="preserve">UPC code updated from UPC = 405392012066 to </t>
    </r>
    <r>
      <rPr>
        <b/>
        <sz val="11"/>
        <color theme="1"/>
        <rFont val="Calibri"/>
        <family val="2"/>
        <scheme val="minor"/>
      </rPr>
      <t>UPC = 405392015012. No change to the SCC code</t>
    </r>
  </si>
  <si>
    <t>Louis Bernard Cotes Du Rhone Villages Aoc</t>
  </si>
  <si>
    <t>Collective Arts Project Wet Hop Wheat Ale 473ml -C</t>
  </si>
  <si>
    <t>Collective Arts Pear Saison Cider</t>
  </si>
  <si>
    <t>Mill Street Lemon Tea+</t>
  </si>
  <si>
    <t>Shock Top Lemon Shandy+</t>
  </si>
  <si>
    <t>8th Sin Black Lager</t>
  </si>
  <si>
    <r>
      <t xml:space="preserve">supplying source changing from:  LCBO - 0001 to to </t>
    </r>
    <r>
      <rPr>
        <b/>
        <sz val="11"/>
        <rFont val="Calibri"/>
        <family val="2"/>
        <scheme val="minor"/>
      </rPr>
      <t>TBS - 0002</t>
    </r>
  </si>
  <si>
    <t>Michelob Ultra 6pkcan+</t>
  </si>
  <si>
    <t>Rolling Rock 6x473 +</t>
  </si>
  <si>
    <t>temporarily our of stock</t>
  </si>
  <si>
    <t>Kichesippi Wuchak Black</t>
  </si>
  <si>
    <t>Creemore Springs Traditional Urbock.</t>
  </si>
  <si>
    <t>Cellier Des Dauphins Carte Noire Cdr Aoc</t>
  </si>
  <si>
    <t>no longer eligible for order - retail price to fall below grocery floor price</t>
  </si>
  <si>
    <t>Collective Arts Forge And Fire Pale Ale 473ml</t>
  </si>
  <si>
    <t>Collective Arts Forge And Fire Amber Ale 473ml</t>
  </si>
  <si>
    <t>&gt; Malbec Reserve Don Mendoza Kpm (Finca La Celia)</t>
  </si>
  <si>
    <t>Why So Sirius American Style Pale Ale Can</t>
  </si>
  <si>
    <t>Rickard's Original White</t>
  </si>
  <si>
    <t>The Publican's House Henry's Irish Ale</t>
  </si>
  <si>
    <t>Henry Of Pelham Baco Noir Old Vines Vqa</t>
  </si>
  <si>
    <t>Discontinued by supplier - temporarily out of stock</t>
  </si>
  <si>
    <t>Muskoka Oak Aged Cream Ale 750ml Btl</t>
  </si>
  <si>
    <t>G. Marquis The Red Line Merlot Vqa</t>
  </si>
  <si>
    <r>
      <t xml:space="preserve">UPC/SCC codes updating. Old UPC: 727530556523, old SCC : 10727530556520  </t>
    </r>
    <r>
      <rPr>
        <b/>
        <sz val="11"/>
        <rFont val="Calibri"/>
        <family val="2"/>
        <scheme val="minor"/>
      </rPr>
      <t>NEW UPC : 727530558879 , NEW SCC : 10727530558876</t>
    </r>
  </si>
  <si>
    <t>Granville Island Smmer Ale</t>
  </si>
  <si>
    <t>temporarilty removed - not yet in stock</t>
  </si>
  <si>
    <t>CAN</t>
  </si>
  <si>
    <r>
      <t xml:space="preserve">supplying source changing from:  LCBO - 0001 to  </t>
    </r>
    <r>
      <rPr>
        <b/>
        <sz val="11"/>
        <rFont val="Calibri"/>
        <family val="2"/>
        <scheme val="minor"/>
      </rPr>
      <t>LAKES OF MUSKOKA COTTAGE BREWERY - 3436</t>
    </r>
  </si>
  <si>
    <t>Southpaw Heroes Lager.</t>
  </si>
  <si>
    <t xml:space="preserve">Somersby Citrus </t>
  </si>
  <si>
    <t>0449298</t>
  </si>
  <si>
    <t>Smithavens Brewing Kellerbier 6x500ml</t>
  </si>
  <si>
    <t>839587000635</t>
  </si>
  <si>
    <t>0449306</t>
  </si>
  <si>
    <t>Smithavens Brewing Dunkelweizen 6x500ml</t>
  </si>
  <si>
    <t>839587000130</t>
  </si>
  <si>
    <t>0463372</t>
  </si>
  <si>
    <t>839587000437</t>
  </si>
  <si>
    <r>
      <t xml:space="preserve">UPC/SCC codes changing . Old UPC : 018200004155, old SCC : 80018200004151; </t>
    </r>
    <r>
      <rPr>
        <b/>
        <sz val="11"/>
        <rFont val="Calibri"/>
        <family val="2"/>
        <scheme val="minor"/>
      </rPr>
      <t>NEW UPC : 062067516535, NEW SCC: 062067516900</t>
    </r>
  </si>
  <si>
    <t>0338392</t>
  </si>
  <si>
    <t>Lake Of Bays Rock Cut Lager</t>
  </si>
  <si>
    <t>812339000060</t>
  </si>
  <si>
    <t>0338400</t>
  </si>
  <si>
    <t>Lake Of Bays Crosswind Pale Ale</t>
  </si>
  <si>
    <t>812339000046</t>
  </si>
  <si>
    <t>0458943</t>
  </si>
  <si>
    <t>Lake Of Bays Wild North Series Midnight Bock</t>
  </si>
  <si>
    <t>812339000459</t>
  </si>
  <si>
    <t>Top Of The Hops Mixed Pack</t>
  </si>
  <si>
    <t>Welly Reboot Pack  Autumn 2016</t>
  </si>
  <si>
    <t>1420 mL</t>
  </si>
  <si>
    <t>(V) Cabernet Merlot Sketches Of Niagara (Tawse)</t>
  </si>
  <si>
    <r>
      <t xml:space="preserve">UPC/SCC codes changing. Old UPC : 670459005903 , Old SCC: 10670459005900 ; </t>
    </r>
    <r>
      <rPr>
        <b/>
        <sz val="11"/>
        <rFont val="Calibri"/>
        <family val="2"/>
        <scheme val="minor"/>
      </rPr>
      <t>NEW UPC: 670459007976 , NEW SCC : 10670459007973</t>
    </r>
  </si>
  <si>
    <t>Jackson-Triggs Reserve Sauvignon Blanc Vqa</t>
  </si>
  <si>
    <t>063657006955</t>
  </si>
  <si>
    <t>Inniskillin Unoaked Chardonnay Vqa</t>
  </si>
  <si>
    <t>620654010011</t>
  </si>
  <si>
    <t>Inniskillin Dry Riesling Vqa</t>
  </si>
  <si>
    <t>620654020010</t>
  </si>
  <si>
    <t>Jackson-Triggs Reserve Merlot Vqa</t>
  </si>
  <si>
    <t>063657006962</t>
  </si>
  <si>
    <t>Open Cab 2 Merlot Vqa</t>
  </si>
  <si>
    <t>063657022290</t>
  </si>
  <si>
    <t>Open Riesling-Gewurztraminer Vqa</t>
  </si>
  <si>
    <t>063657022276</t>
  </si>
  <si>
    <t>Open Merlot Vqa</t>
  </si>
  <si>
    <t>063657022283</t>
  </si>
  <si>
    <t>Inniskillin Riesling Pinot Grigio Vqa</t>
  </si>
  <si>
    <t>063657022542</t>
  </si>
  <si>
    <t>Open Rose Vqa*</t>
  </si>
  <si>
    <t>063657023198</t>
  </si>
  <si>
    <t>Open Sauvignon Blanc Vqa</t>
  </si>
  <si>
    <t>063657023884</t>
  </si>
  <si>
    <t>Inniskillin Merlot Vqa</t>
  </si>
  <si>
    <t>620654060016</t>
  </si>
  <si>
    <t>Jackson-Triggs Methode Cuve Close Sparklg Vqa</t>
  </si>
  <si>
    <t>063657006726</t>
  </si>
  <si>
    <t>Inniskillin Late Autumn Riesling Vqa</t>
  </si>
  <si>
    <t>620654022014</t>
  </si>
  <si>
    <t>Vintage Ink Chardonnay Rite Of Passage Vqa</t>
  </si>
  <si>
    <t>063657029145</t>
  </si>
  <si>
    <t>V. Ink Merlot-Cabernet Mark Of Passion Vqa</t>
  </si>
  <si>
    <t>063657029152</t>
  </si>
  <si>
    <t>Inniskillin Pinot Noir Vqa</t>
  </si>
  <si>
    <t>620654030019</t>
  </si>
  <si>
    <t>Inniskillin Cabernet Franc Vqa</t>
  </si>
  <si>
    <t>620654040018</t>
  </si>
  <si>
    <t>Inniskillin Oaked Chardonnay Vqa</t>
  </si>
  <si>
    <t>620654011018</t>
  </si>
  <si>
    <t>Jackson-Triggs Chardonnay</t>
  </si>
  <si>
    <t>063657005187</t>
  </si>
  <si>
    <t>Jackson-Triggs Cabernet Sauvignon</t>
  </si>
  <si>
    <t>063657005347</t>
  </si>
  <si>
    <t>Inniskillin Pinot Grigio Vqa</t>
  </si>
  <si>
    <t>620654070015</t>
  </si>
  <si>
    <t>Jackson-Triggs Reserve Cabernet Shiraz Vqa</t>
  </si>
  <si>
    <t>063657033142</t>
  </si>
  <si>
    <t>Open Smooth Red Vqa</t>
  </si>
  <si>
    <t>063657033111</t>
  </si>
  <si>
    <t>Open Smooth White Vqa</t>
  </si>
  <si>
    <t>063657033944</t>
  </si>
  <si>
    <t>&gt;(V) Vidal Icewine Vqa (Inniskillin.</t>
  </si>
  <si>
    <t>620654110018</t>
  </si>
  <si>
    <t>&gt; (V)Prop Res Vidal Icewine Vqa (Jackson T.</t>
  </si>
  <si>
    <t>063657006887</t>
  </si>
  <si>
    <t>Jackson-Triggs Cabernet Shiraz</t>
  </si>
  <si>
    <t>063657006641</t>
  </si>
  <si>
    <t>Inniskillin Sauvignon Blanc Niagara Est Series Vqa</t>
  </si>
  <si>
    <t>620654132454</t>
  </si>
  <si>
    <t>Open Riesling-Gewurztraminer Vqa Bag In B0x</t>
  </si>
  <si>
    <t>063657035924</t>
  </si>
  <si>
    <t>Open Smooth Red Vqa Bag In Box</t>
  </si>
  <si>
    <t>063657035948</t>
  </si>
  <si>
    <t>Jackson-Triggs Reserve Meritage Vqa</t>
  </si>
  <si>
    <t>063657006313</t>
  </si>
  <si>
    <t>Jackson-Triggs Reserve Chardonnay Vqa</t>
  </si>
  <si>
    <t>063657006290</t>
  </si>
  <si>
    <t>Jackson-Triggs Reserve Cab Fr/Cab Sauv Vqa</t>
  </si>
  <si>
    <t>063657006634</t>
  </si>
  <si>
    <t>Jackson-Triggs Pinot Grigio</t>
  </si>
  <si>
    <t>063657011836</t>
  </si>
  <si>
    <t>Inniskillin Cabernet Merlot Vqa</t>
  </si>
  <si>
    <t>620654043002</t>
  </si>
  <si>
    <r>
      <t xml:space="preserve">Supplying Source changing from LCBO - 0001 to producer: </t>
    </r>
    <r>
      <rPr>
        <b/>
        <sz val="11"/>
        <rFont val="Calibri"/>
        <family val="2"/>
        <scheme val="minor"/>
      </rPr>
      <t>CONSTELLATION BRANDS INC. - 0215</t>
    </r>
  </si>
  <si>
    <t>0257329</t>
  </si>
  <si>
    <t>Caliterra Cabernet Sauvignon</t>
  </si>
  <si>
    <t>610444011038</t>
  </si>
  <si>
    <t>0275909</t>
  </si>
  <si>
    <t>Caliterra Sauvignon Blanc</t>
  </si>
  <si>
    <t>610444017030</t>
  </si>
  <si>
    <t>Discontinued by supplier - retail price to fall below grocery floor price</t>
  </si>
  <si>
    <t>13 Soldier's Grant (Kew Vineyards Estate Winery)</t>
  </si>
  <si>
    <r>
      <t xml:space="preserve">UPC/SCC codes changing. Old UPC : 405392013254  , Old SCC:  10405392013251 ; </t>
    </r>
    <r>
      <rPr>
        <b/>
        <sz val="11"/>
        <rFont val="Calibri"/>
        <family val="2"/>
        <scheme val="minor"/>
      </rPr>
      <t>NEW UPC: 405392014657  , NEW SCC : 10405392014654</t>
    </r>
  </si>
  <si>
    <t>Collective Arts Project Ipa No. 1</t>
  </si>
  <si>
    <t>14 Pinot Grigio (Calamus Estate Winery)</t>
  </si>
  <si>
    <t>Amsterdam Sweetwater Squeeze Berryblendradler 473+</t>
  </si>
  <si>
    <t>Turning Point Apple  Cider</t>
  </si>
  <si>
    <t>YOUNG BRUTE RED BLEND</t>
  </si>
  <si>
    <t>Prison Break Pilsner +</t>
  </si>
  <si>
    <t>Pillitteri Carretto Series Sauv Blanc</t>
  </si>
  <si>
    <t>LCBO# 337006 - Prison Break Pilsner + discontinued. Replaced with LCBO# 514711 - Hops &amp; Robbers Unfiltered Pils</t>
  </si>
  <si>
    <t>0006668</t>
  </si>
  <si>
    <t>Staropramen +</t>
  </si>
  <si>
    <t>8593868000050</t>
  </si>
  <si>
    <t>0009209</t>
  </si>
  <si>
    <t>Becks 6 Pk-B +</t>
  </si>
  <si>
    <t>082488143004</t>
  </si>
  <si>
    <t>Rogue Dead Guy Ale</t>
  </si>
  <si>
    <t>St. Peter's G-Free</t>
  </si>
  <si>
    <t>Samuel Smith's Organic Ale</t>
  </si>
  <si>
    <t>550 mL</t>
  </si>
  <si>
    <t>Corona Extra+</t>
  </si>
  <si>
    <t>Bl Platinum 6 Pk-Aluminum</t>
  </si>
  <si>
    <t>2040 mL</t>
  </si>
  <si>
    <t>Lowenbrau Radler Labatt</t>
  </si>
  <si>
    <t>Box Steam Dark &amp; Handsome</t>
  </si>
  <si>
    <t>0065011</t>
  </si>
  <si>
    <t>621433005044</t>
  </si>
  <si>
    <t>0190439</t>
  </si>
  <si>
    <t>621433006041</t>
  </si>
  <si>
    <t>0462739</t>
  </si>
  <si>
    <t>621433092044</t>
  </si>
  <si>
    <t>0473819</t>
  </si>
  <si>
    <t>Wellington Pale Ale 6-Pk-B</t>
  </si>
  <si>
    <t>621433006096</t>
  </si>
  <si>
    <t>0479790</t>
  </si>
  <si>
    <t>621433005099</t>
  </si>
  <si>
    <r>
      <t>supplying source changing from TBS: 0002 to PRODUCER:</t>
    </r>
    <r>
      <rPr>
        <b/>
        <sz val="11"/>
        <rFont val="Calibri"/>
        <family val="2"/>
        <scheme val="minor"/>
      </rPr>
      <t xml:space="preserve"> 4826 - WELLINGTON COUNTRY BREWERY LIMITED</t>
    </r>
  </si>
  <si>
    <t>Welly Re-Booted Mix Pack Vol 2</t>
  </si>
  <si>
    <t>Cameron's 4 Pk V8</t>
  </si>
  <si>
    <t>0460584</t>
  </si>
  <si>
    <t>Pouch Envy Austrailian Pale Ale</t>
  </si>
  <si>
    <t>627843456315</t>
  </si>
  <si>
    <t>0491563</t>
  </si>
  <si>
    <t>My Cousin Knows The Drummer Hefeweizen</t>
  </si>
  <si>
    <t>628055731016</t>
  </si>
  <si>
    <t>Beau's The Tom Green Beer</t>
  </si>
  <si>
    <t>Sledgehammer Zinfandel</t>
  </si>
  <si>
    <t>Granville Island Lions Winter Ale</t>
  </si>
  <si>
    <t>Rickards Red Ipa 473ml (Molson)</t>
  </si>
  <si>
    <t>Session West Coast Lager</t>
  </si>
  <si>
    <t>Great Lakes Pumpkin Ale</t>
  </si>
  <si>
    <t>2017 Beer Of The Year Helles</t>
  </si>
  <si>
    <t>Forked River Full City Coffee Porter</t>
  </si>
  <si>
    <t>Black Creek Pumpkin Ale</t>
  </si>
  <si>
    <t>Burnt Ship Bay Cabernet Merlot Vqa</t>
  </si>
  <si>
    <r>
      <t xml:space="preserve">UPC/SCC codes changing. Old UPC : 832136008021 , old SCC : 10832136008028 ; </t>
    </r>
    <r>
      <rPr>
        <b/>
        <sz val="11"/>
        <rFont val="Calibri"/>
        <family val="2"/>
        <scheme val="minor"/>
      </rPr>
      <t>NEW UPC: 832136008038 NEW SCC: 10832136008035</t>
    </r>
  </si>
  <si>
    <t>0480780</t>
  </si>
  <si>
    <t>Mill Street Harvest 2016</t>
  </si>
  <si>
    <t>855315001514</t>
  </si>
  <si>
    <t>0481267</t>
  </si>
  <si>
    <t>Mill St Winter Sampler 2016</t>
  </si>
  <si>
    <t>2159 mL</t>
  </si>
  <si>
    <t>855315001576</t>
  </si>
  <si>
    <t>Muskoka Shinnicked Stout 473ml Can</t>
  </si>
  <si>
    <t>Muskoka Winterweiss 473ml Can</t>
  </si>
  <si>
    <t>Pondview Lot 74 Cabernet Merlot Vqa</t>
  </si>
  <si>
    <r>
      <t xml:space="preserve">UPC/SCC codes changing. Old UPC : 832136003446 , old SCC : 10832136003443 ; </t>
    </r>
    <r>
      <rPr>
        <b/>
        <sz val="11"/>
        <rFont val="Calibri"/>
        <family val="2"/>
        <scheme val="minor"/>
      </rPr>
      <t>NEW UPC: 832136003545 NEW SCC: 10832136003542</t>
    </r>
  </si>
  <si>
    <t>Highballer Pumpkin Ale</t>
  </si>
  <si>
    <t>Lake Of Bays 10 Point Ipa</t>
  </si>
  <si>
    <r>
      <t xml:space="preserve">supplying source changing from LCBO - 0001  </t>
    </r>
    <r>
      <rPr>
        <sz val="11"/>
        <color theme="1"/>
        <rFont val="Calibri"/>
        <family val="2"/>
        <scheme val="minor"/>
      </rPr>
      <t>producer:</t>
    </r>
    <r>
      <rPr>
        <b/>
        <sz val="11"/>
        <color theme="1"/>
        <rFont val="Calibri"/>
        <family val="2"/>
        <scheme val="minor"/>
      </rPr>
      <t xml:space="preserve"> MANITOULIN BREWING -  0402</t>
    </r>
  </si>
  <si>
    <t>13 Chardonnay (Burnt Ship Bay Estate Winery)</t>
  </si>
  <si>
    <r>
      <t xml:space="preserve">UPC/SCC codes changing. Old UPC : 832136007031  , old SCC : 10832136007038 ; </t>
    </r>
    <r>
      <rPr>
        <b/>
        <sz val="11"/>
        <rFont val="Calibri"/>
        <family val="2"/>
        <scheme val="minor"/>
      </rPr>
      <t>NEW UPC: 832136007109  NEW SCC: 10832136007106</t>
    </r>
  </si>
  <si>
    <t>Girls' Night Out Bff Red Vqa</t>
  </si>
  <si>
    <t>Colio Bricklayer's Predicament Chard P. Grigio Vqa</t>
  </si>
  <si>
    <t>No longer discontinued by supplier - product will remain available.</t>
  </si>
  <si>
    <t>Cliff 79 Cabernet Shiraz</t>
  </si>
  <si>
    <t>0466706</t>
  </si>
  <si>
    <t>Collective Arts Project Hefeweizen</t>
  </si>
  <si>
    <t>186360050036</t>
  </si>
  <si>
    <t>0495713</t>
  </si>
  <si>
    <t>Collective Arts Project Dry Hopped Sour C</t>
  </si>
  <si>
    <t>186360050081</t>
  </si>
  <si>
    <t>0512186</t>
  </si>
  <si>
    <t>Collective Arts Crab Apple Press</t>
  </si>
  <si>
    <t>186360000659</t>
  </si>
  <si>
    <t>0394015</t>
  </si>
  <si>
    <t>Brickworks Batch:1904 Cider</t>
  </si>
  <si>
    <t>627843373773</t>
  </si>
  <si>
    <t>0413807</t>
  </si>
  <si>
    <t>Brickworks Ciderhouse Queenstreet 501</t>
  </si>
  <si>
    <t>627843373780</t>
  </si>
  <si>
    <t>0498147</t>
  </si>
  <si>
    <t>Brickworks Cider Mix Pack</t>
  </si>
  <si>
    <t>627843374022</t>
  </si>
  <si>
    <t>0498154</t>
  </si>
  <si>
    <t>Bw Ciderhouse Mint/Basil</t>
  </si>
  <si>
    <t>627843374015</t>
  </si>
  <si>
    <r>
      <t xml:space="preserve">supplying source changing from PRODUCER: 4065 - BRICKWORKS CIDERHOUSE to </t>
    </r>
    <r>
      <rPr>
        <b/>
        <sz val="11"/>
        <rFont val="Calibri"/>
        <family val="2"/>
        <scheme val="minor"/>
      </rPr>
      <t>PRODUCER: 1950 - TRILLIUM BEVERAGE INC.</t>
    </r>
  </si>
  <si>
    <t>Collective Arts Project Ipa No. 2</t>
  </si>
  <si>
    <t>Bud Light  Aluminum Bottle  4x473ml</t>
  </si>
  <si>
    <t>15 Viognier (Pondview)</t>
  </si>
  <si>
    <t>Black Creek Porter.</t>
  </si>
  <si>
    <t>0228726</t>
  </si>
  <si>
    <t>627843091066</t>
  </si>
  <si>
    <t>0419804</t>
  </si>
  <si>
    <t>Maclean's India Pale Ale</t>
  </si>
  <si>
    <t>627843091103</t>
  </si>
  <si>
    <t>Zlatorog Beer</t>
  </si>
  <si>
    <t>True North Inukshuk Ipa 6-Pk-B</t>
  </si>
  <si>
    <r>
      <t>Supplying Source changing from LCBO - 0001 to producer:</t>
    </r>
    <r>
      <rPr>
        <b/>
        <sz val="11"/>
        <rFont val="Calibri"/>
        <family val="2"/>
        <scheme val="minor"/>
      </rPr>
      <t xml:space="preserve"> 0270 - MAGNOTTA BREWERY (VAUGHAN) LTD.</t>
    </r>
  </si>
  <si>
    <t>Central City Red Racer Copper Ale+</t>
  </si>
  <si>
    <t>Red Racer India Style Red Ale</t>
  </si>
  <si>
    <t>Sprucewood Lady In Red Vqa</t>
  </si>
  <si>
    <r>
      <t xml:space="preserve">UPC code changing from 840712001304  to </t>
    </r>
    <r>
      <rPr>
        <b/>
        <sz val="11"/>
        <rFont val="Calibri"/>
        <family val="2"/>
        <scheme val="minor"/>
      </rPr>
      <t>840712001168</t>
    </r>
    <r>
      <rPr>
        <sz val="11"/>
        <rFont val="Calibri"/>
        <family val="2"/>
        <scheme val="minor"/>
      </rPr>
      <t xml:space="preserve"> ; SCC code changing from 10840712001301 to </t>
    </r>
    <r>
      <rPr>
        <b/>
        <sz val="11"/>
        <rFont val="Calibri"/>
        <family val="2"/>
        <scheme val="minor"/>
      </rPr>
      <t>10840712001165</t>
    </r>
    <r>
      <rPr>
        <sz val="11"/>
        <rFont val="Calibri"/>
        <family val="2"/>
        <scheme val="minor"/>
      </rPr>
      <t xml:space="preserve"> </t>
    </r>
  </si>
  <si>
    <r>
      <t xml:space="preserve">Producer 0215 name to change from  CONSTELLATION BRANDS INC. to </t>
    </r>
    <r>
      <rPr>
        <b/>
        <sz val="11"/>
        <rFont val="Calibri"/>
        <family val="2"/>
        <scheme val="minor"/>
      </rPr>
      <t>ARTERRA WINES CANADA, INC.</t>
    </r>
    <r>
      <rPr>
        <sz val="11"/>
        <rFont val="Calibri"/>
        <family val="2"/>
        <scheme val="minor"/>
      </rPr>
      <t xml:space="preserve">; Agent 0110 name to change from  CONSTELLATION BRANDS INC. to </t>
    </r>
    <r>
      <rPr>
        <b/>
        <sz val="11"/>
        <rFont val="Calibri"/>
        <family val="2"/>
        <scheme val="minor"/>
      </rPr>
      <t>ARTERRA WINES CANADA, INC.</t>
    </r>
  </si>
  <si>
    <t>Sierra Nevada Pale Ale</t>
  </si>
  <si>
    <t>Lob Switchback</t>
  </si>
  <si>
    <t>Seagram Farmhouse Cider</t>
  </si>
  <si>
    <t>0474577</t>
  </si>
  <si>
    <t>020707190361</t>
  </si>
  <si>
    <t>Bavaria Holland Beer 6 Pk-C (Mid Cone)</t>
  </si>
  <si>
    <t>Big Bill Cabernet Sauvignon</t>
  </si>
  <si>
    <t>Pillitteri Carresso Cab Sauv Ice Wine</t>
  </si>
  <si>
    <t>200 mL</t>
  </si>
  <si>
    <t>Stinger - Ipa</t>
  </si>
  <si>
    <t>&gt;Pinot Noir G Marquis Slvr Ln Stone Rd</t>
  </si>
  <si>
    <r>
      <t xml:space="preserve">UPC code changing from 727530552624  to </t>
    </r>
    <r>
      <rPr>
        <b/>
        <sz val="11"/>
        <rFont val="Calibri"/>
        <family val="2"/>
        <scheme val="minor"/>
      </rPr>
      <t>727530559333</t>
    </r>
    <r>
      <rPr>
        <sz val="11"/>
        <rFont val="Calibri"/>
        <family val="2"/>
        <scheme val="minor"/>
      </rPr>
      <t xml:space="preserve"> ; SCC code changing from 10727530552621 to </t>
    </r>
    <r>
      <rPr>
        <b/>
        <sz val="11"/>
        <rFont val="Calibri"/>
        <family val="2"/>
        <scheme val="minor"/>
      </rPr>
      <t xml:space="preserve">10727530559330 </t>
    </r>
    <r>
      <rPr>
        <sz val="11"/>
        <rFont val="Calibri"/>
        <family val="2"/>
        <scheme val="minor"/>
      </rPr>
      <t xml:space="preserve"> </t>
    </r>
  </si>
  <si>
    <t>0279539</t>
  </si>
  <si>
    <t>Seagram Cider</t>
  </si>
  <si>
    <t>020707105044</t>
  </si>
  <si>
    <t>Producer size changing from Small to Large</t>
  </si>
  <si>
    <t>Grand River Dog Stalker</t>
  </si>
  <si>
    <t>Whiprsnapr Brewing Slinger Maple Cream Ale 473can</t>
  </si>
  <si>
    <t>Beaus Golden Vox</t>
  </si>
  <si>
    <t>0058438</t>
  </si>
  <si>
    <t>0066266</t>
  </si>
  <si>
    <t>0083790</t>
  </si>
  <si>
    <t>0109959</t>
  </si>
  <si>
    <t>0134957</t>
  </si>
  <si>
    <t>0134965</t>
  </si>
  <si>
    <t>0140129</t>
  </si>
  <si>
    <t>0145458</t>
  </si>
  <si>
    <t>0175349</t>
  </si>
  <si>
    <t>0178681</t>
  </si>
  <si>
    <t>0188177</t>
  </si>
  <si>
    <t>0217679</t>
  </si>
  <si>
    <t>0219543</t>
  </si>
  <si>
    <t>0245712</t>
  </si>
  <si>
    <t>0250209</t>
  </si>
  <si>
    <t>0261099</t>
  </si>
  <si>
    <t>0305151</t>
  </si>
  <si>
    <t>Open Chardonnay Vqa</t>
  </si>
  <si>
    <t>063657029411</t>
  </si>
  <si>
    <t>0317016</t>
  </si>
  <si>
    <t>0317768</t>
  </si>
  <si>
    <t>0348979</t>
  </si>
  <si>
    <t>0357137</t>
  </si>
  <si>
    <t>0357145</t>
  </si>
  <si>
    <t>0387050</t>
  </si>
  <si>
    <t>0388306</t>
  </si>
  <si>
    <t>0389411</t>
  </si>
  <si>
    <t>0485144</t>
  </si>
  <si>
    <t>0492231</t>
  </si>
  <si>
    <t>0492249</t>
  </si>
  <si>
    <t>0526228</t>
  </si>
  <si>
    <t>0526251</t>
  </si>
  <si>
    <t>0560680</t>
  </si>
  <si>
    <t>0627166</t>
  </si>
  <si>
    <r>
      <t xml:space="preserve">Supplying Source changing from producer : 0215 -ARTERRA WINES CANADA, INC. to </t>
    </r>
    <r>
      <rPr>
        <b/>
        <sz val="11"/>
        <rFont val="Calibri"/>
        <family val="2"/>
        <scheme val="minor"/>
      </rPr>
      <t>LCBO - 0001</t>
    </r>
    <r>
      <rPr>
        <sz val="11"/>
        <rFont val="Calibri"/>
        <family val="2"/>
        <scheme val="minor"/>
      </rPr>
      <t xml:space="preserve"> </t>
    </r>
  </si>
  <si>
    <r>
      <t xml:space="preserve">Supplying Source changing from producer : 0215 -ARTERRA WINES CANADA, INC. to </t>
    </r>
    <r>
      <rPr>
        <b/>
        <sz val="11"/>
        <rFont val="Calibri"/>
        <family val="2"/>
        <scheme val="minor"/>
      </rPr>
      <t>LCBO - 0001</t>
    </r>
    <r>
      <rPr>
        <sz val="11"/>
        <rFont val="Calibri"/>
        <family val="2"/>
        <scheme val="minor"/>
      </rPr>
      <t/>
    </r>
  </si>
  <si>
    <t>Girls' Night Out Bff White Vqa</t>
  </si>
  <si>
    <t>0449256</t>
  </si>
  <si>
    <t>Thornbury Dark Horse Lager 473ml</t>
  </si>
  <si>
    <t>674687100140</t>
  </si>
  <si>
    <t>0449264</t>
  </si>
  <si>
    <t>Thornbury Blue Mountain Lager 473ml</t>
  </si>
  <si>
    <t>674687100041</t>
  </si>
  <si>
    <r>
      <t xml:space="preserve">product name changing from Thornbury Jubilee Amber Lager 473ml to </t>
    </r>
    <r>
      <rPr>
        <b/>
        <sz val="11"/>
        <rFont val="Calibri"/>
        <family val="2"/>
        <scheme val="minor"/>
      </rPr>
      <t>Thornbury Village Ladder Run Amber Lager</t>
    </r>
  </si>
  <si>
    <r>
      <t xml:space="preserve">product name changing from Thornbury Pickup Truck Pilsner 473ml to </t>
    </r>
    <r>
      <rPr>
        <b/>
        <sz val="11"/>
        <rFont val="Calibri"/>
        <family val="2"/>
        <scheme val="minor"/>
      </rPr>
      <t>Thornbury Village Pick up No.26 Pilsner</t>
    </r>
  </si>
  <si>
    <r>
      <t xml:space="preserve">product name changing from Thornbury Dark Horse Lager 473ml to </t>
    </r>
    <r>
      <rPr>
        <b/>
        <sz val="11"/>
        <rFont val="Calibri"/>
        <family val="2"/>
        <scheme val="minor"/>
      </rPr>
      <t>Thornbury Village Dam Dark Lager</t>
    </r>
  </si>
  <si>
    <t>Lake Of Bays Spark House Red Ale 4x473ml</t>
  </si>
  <si>
    <t>Brewmaster Craft Pack Lake Of Bays 4x473ml</t>
  </si>
  <si>
    <t>Hobgoblin Gold</t>
  </si>
  <si>
    <r>
      <t xml:space="preserve">Discontinued by supplier. When available again, product name changing from Thornbury Blue Mountain Lager 473ml to </t>
    </r>
    <r>
      <rPr>
        <b/>
        <sz val="11"/>
        <rFont val="Calibri"/>
        <family val="2"/>
        <scheme val="minor"/>
      </rPr>
      <t>Thornbury Village Heritage ‘1833’ Lager</t>
    </r>
  </si>
  <si>
    <t>Curmudgeon Ipa</t>
  </si>
  <si>
    <t xml:space="preserve">Holsten Maibock+. </t>
  </si>
  <si>
    <r>
      <t xml:space="preserve">UPC code changing. Old UPC : 40678726 ; </t>
    </r>
    <r>
      <rPr>
        <b/>
        <sz val="11"/>
        <rFont val="Calibri"/>
        <family val="2"/>
        <scheme val="minor"/>
      </rPr>
      <t>NEW UPC: 42221289</t>
    </r>
  </si>
  <si>
    <t>0071738</t>
  </si>
  <si>
    <t>12 Merlot (Pillitteri Estate Winery)</t>
  </si>
  <si>
    <t>627128112301</t>
  </si>
  <si>
    <t>0362830</t>
  </si>
  <si>
    <t>Pillittei Exclamation Cabernet Franc</t>
  </si>
  <si>
    <t>627128113261</t>
  </si>
  <si>
    <t>0483719</t>
  </si>
  <si>
    <t>Pillitteri Market Sel. Sparkling Rose</t>
  </si>
  <si>
    <t>627128601119</t>
  </si>
  <si>
    <r>
      <t xml:space="preserve">Product description changing from : Pillittei Exclamation Cabernet Franc to: </t>
    </r>
    <r>
      <rPr>
        <b/>
        <sz val="11"/>
        <color theme="1"/>
        <rFont val="Calibri"/>
        <family val="2"/>
        <scheme val="minor"/>
      </rPr>
      <t>Pillitteri Exclamation Cabernet Franc</t>
    </r>
  </si>
  <si>
    <r>
      <t xml:space="preserve">Product description changing from :12 Merlot (Pillitteri Estate Winery) to:  </t>
    </r>
    <r>
      <rPr>
        <b/>
        <sz val="11"/>
        <rFont val="Calibri"/>
        <family val="2"/>
        <scheme val="minor"/>
      </rPr>
      <t>Pillitteri Carretto Merlot</t>
    </r>
  </si>
  <si>
    <t>Fazi Battaglia Verdicchiodei Castelli Di Jesi</t>
  </si>
  <si>
    <t>Beaus Haters Gonna Hate</t>
  </si>
  <si>
    <t>Beaus Farm Table Patersbier</t>
  </si>
  <si>
    <t>Thornbury Jubilee Amber Lager</t>
  </si>
  <si>
    <r>
      <t xml:space="preserve">Supplying source changing from 0001 - LCBO to </t>
    </r>
    <r>
      <rPr>
        <b/>
        <sz val="11"/>
        <rFont val="Calibri"/>
        <family val="2"/>
        <scheme val="minor"/>
      </rPr>
      <t>8609 - THORNBURY VILLAGE CIDERY INC.</t>
    </r>
    <r>
      <rPr>
        <sz val="11"/>
        <rFont val="Calibri"/>
        <family val="2"/>
        <scheme val="minor"/>
      </rPr>
      <t xml:space="preserve"> (please see note effective 7/18/2017 on product name change as well)</t>
    </r>
  </si>
  <si>
    <t>Trivento Fair Trade Malbec</t>
  </si>
  <si>
    <r>
      <t xml:space="preserve">UPC/SCC codes changing. Old UPC : 7798039595323, old SCC : 37798039595324 ; </t>
    </r>
    <r>
      <rPr>
        <b/>
        <sz val="11"/>
        <rFont val="Calibri"/>
        <family val="2"/>
        <scheme val="minor"/>
      </rPr>
      <t>NEW UPC : 7798039590342 , NEW SCC : 37798039590343</t>
    </r>
  </si>
  <si>
    <t>0210062</t>
  </si>
  <si>
    <t>13 Steely Chardonnay (Calamus)</t>
  </si>
  <si>
    <t>693550000998</t>
  </si>
  <si>
    <t>0330613</t>
  </si>
  <si>
    <t>13 Chardonnay Barrel Kissed (Calamus Estate)</t>
  </si>
  <si>
    <t>693550000912</t>
  </si>
  <si>
    <t>0483982</t>
  </si>
  <si>
    <t>14 Riesling Off Dry (Calamus Estate Winery)</t>
  </si>
  <si>
    <t>693550001049</t>
  </si>
  <si>
    <t>0483990</t>
  </si>
  <si>
    <t>13 Cabernet (Calamus Estate)</t>
  </si>
  <si>
    <t>693550000974</t>
  </si>
  <si>
    <t>0484006</t>
  </si>
  <si>
    <t>12 Meritage (Calamus Estate Winery)</t>
  </si>
  <si>
    <t>693550000882</t>
  </si>
  <si>
    <t>14 Cabernet Merlot Calamus</t>
  </si>
  <si>
    <r>
      <t xml:space="preserve">Supplying source changing from 8617 - CALAMUS ESTATE WINERY to </t>
    </r>
    <r>
      <rPr>
        <b/>
        <sz val="11"/>
        <rFont val="Calibri"/>
        <family val="2"/>
        <scheme val="minor"/>
      </rPr>
      <t>0001 - LCBO</t>
    </r>
  </si>
  <si>
    <t>Beau's Brett Ipa Halycon</t>
  </si>
  <si>
    <r>
      <t xml:space="preserve">Product Description should read : </t>
    </r>
    <r>
      <rPr>
        <b/>
        <sz val="11"/>
        <color theme="1"/>
        <rFont val="Calibri"/>
        <family val="2"/>
        <scheme val="minor"/>
      </rPr>
      <t>HALYCON INFINITY MIRROR BRETT IPA</t>
    </r>
  </si>
  <si>
    <t>Immediately</t>
  </si>
  <si>
    <t>Lakeport Ice 473ml</t>
  </si>
  <si>
    <t>Woodbridge By Robert Mondavi Moscato</t>
  </si>
  <si>
    <r>
      <t xml:space="preserve">SCC code changing from SCC : 40086003004106 to </t>
    </r>
    <r>
      <rPr>
        <b/>
        <sz val="11"/>
        <color theme="1"/>
        <rFont val="Calibri"/>
        <family val="2"/>
        <scheme val="minor"/>
      </rPr>
      <t>SCC: 20086003004102</t>
    </r>
  </si>
  <si>
    <t>0158642</t>
  </si>
  <si>
    <t>(V) Vinemount Ridge Riesling (Calamus Estate)</t>
  </si>
  <si>
    <t>693550000899</t>
  </si>
  <si>
    <t>0484014</t>
  </si>
  <si>
    <t>14 White Night (Calamus Estate Winery)</t>
  </si>
  <si>
    <t>693550001056</t>
  </si>
  <si>
    <t>Fire In The Rye</t>
  </si>
  <si>
    <t>Samuel Adams Winter Lager 6 Pk-B</t>
  </si>
  <si>
    <t>Radio Boka Tempranillo Valencia Bib</t>
  </si>
  <si>
    <t>0387761</t>
  </si>
  <si>
    <t>Forked River Riptide Pale Ale+</t>
  </si>
  <si>
    <t>820103848213</t>
  </si>
  <si>
    <t>0424184</t>
  </si>
  <si>
    <t>Forked River Mojo</t>
  </si>
  <si>
    <t>820103848244</t>
  </si>
  <si>
    <t>0448183</t>
  </si>
  <si>
    <t>Forked River Capital Blonde Ale 500ml</t>
  </si>
  <si>
    <t>820103848220</t>
  </si>
  <si>
    <t>Ace Hill Pilsner - 4 Can</t>
  </si>
  <si>
    <t>Estrella Damm Lager +</t>
  </si>
  <si>
    <t>Format discontinued by supplier. New format will have new Alcohol Content and new UPC/SCC codes. LCBO# 531400 to be made available to grocers TBD.</t>
  </si>
  <si>
    <t>Woodbridge By Robert Mondavi Cabernet Sauv</t>
  </si>
  <si>
    <r>
      <t xml:space="preserve">UPC code chagned from </t>
    </r>
    <r>
      <rPr>
        <sz val="11"/>
        <color theme="1"/>
        <rFont val="Calibri"/>
        <family val="2"/>
        <scheme val="minor"/>
      </rPr>
      <t>086003811850</t>
    </r>
    <r>
      <rPr>
        <b/>
        <sz val="11"/>
        <color theme="1"/>
        <rFont val="Calibri"/>
        <family val="2"/>
        <scheme val="minor"/>
      </rPr>
      <t xml:space="preserve"> to 086003000094;</t>
    </r>
    <r>
      <rPr>
        <sz val="11"/>
        <color theme="1"/>
        <rFont val="Calibri"/>
        <family val="2"/>
        <scheme val="minor"/>
      </rPr>
      <t xml:space="preserve"> SCC code changed from 20086003000098 to</t>
    </r>
    <r>
      <rPr>
        <b/>
        <sz val="11"/>
        <color theme="1"/>
        <rFont val="Calibri"/>
        <family val="2"/>
        <scheme val="minor"/>
      </rPr>
      <t xml:space="preserve"> 80086003000090</t>
    </r>
  </si>
  <si>
    <t>Northern Maverick Brewing Co Handcrafted Lager</t>
  </si>
  <si>
    <t>Mill Street Ginger Cat</t>
  </si>
  <si>
    <t xml:space="preserve">Bottle format discontinued by supplier. Can format will be LCBO# 530329. Availability TBD </t>
  </si>
  <si>
    <t>Bottle format discontinued by supplier. Can format will be LCBO# 530303. Availability TBD</t>
  </si>
  <si>
    <t>Trius Rose Vqa *</t>
  </si>
  <si>
    <t>Beau's Buenos Dias Gruit</t>
  </si>
  <si>
    <r>
      <t xml:space="preserve">UPC code changing from 840712001168 back to </t>
    </r>
    <r>
      <rPr>
        <b/>
        <sz val="11"/>
        <rFont val="Calibri"/>
        <family val="2"/>
        <scheme val="minor"/>
      </rPr>
      <t>840712001304</t>
    </r>
    <r>
      <rPr>
        <sz val="11"/>
        <rFont val="Calibri"/>
        <family val="2"/>
        <scheme val="minor"/>
      </rPr>
      <t xml:space="preserve">  to 840712001168 ; SCC code changing from 10840712001165 back to </t>
    </r>
    <r>
      <rPr>
        <b/>
        <sz val="11"/>
        <rFont val="Calibri"/>
        <family val="2"/>
        <scheme val="minor"/>
      </rPr>
      <t>10840712001301</t>
    </r>
    <r>
      <rPr>
        <sz val="11"/>
        <rFont val="Calibri"/>
        <family val="2"/>
        <scheme val="minor"/>
      </rPr>
      <t xml:space="preserve"> </t>
    </r>
  </si>
  <si>
    <t>Torres Vina Esmeralda Semi Dry White Catalun</t>
  </si>
  <si>
    <t>Mayor De Castilla Verdejo Rueda</t>
  </si>
  <si>
    <t>Leonardo Bianco Toscana Fiasco</t>
  </si>
  <si>
    <t>J.P. Chenet Chardonnay Reserve Pays D'Doc</t>
  </si>
  <si>
    <t>Ephemere Elderberry</t>
  </si>
  <si>
    <r>
      <t xml:space="preserve">UPC code changing from carrier code 056910850068 to bottle code </t>
    </r>
    <r>
      <rPr>
        <b/>
        <sz val="11"/>
        <color theme="1"/>
        <rFont val="Calibri"/>
        <family val="2"/>
        <scheme val="minor"/>
      </rPr>
      <t>056910850013</t>
    </r>
  </si>
  <si>
    <t>Available again at supplier's request</t>
  </si>
  <si>
    <t>Spearhead Sam Roberts Band Session Ale</t>
  </si>
  <si>
    <t>Sir Isaac Premium Peach Cider</t>
  </si>
  <si>
    <t>Fruitstand Watermelon Wheat</t>
  </si>
  <si>
    <r>
      <t xml:space="preserve">supplying source changing from LCBO - 0001 to producer: </t>
    </r>
    <r>
      <rPr>
        <b/>
        <sz val="11"/>
        <color theme="1"/>
        <rFont val="Calibri"/>
        <family val="2"/>
        <scheme val="minor"/>
      </rPr>
      <t>9618 - KENSINGTON BREWING COMPANY</t>
    </r>
  </si>
  <si>
    <t>Bolla Amarone Della Valpolicella Classico Doc</t>
  </si>
  <si>
    <t>Nickel Brook Gluten Free</t>
  </si>
  <si>
    <t>0424689</t>
  </si>
  <si>
    <t>Dog House White Vidal Vqa Ddp</t>
  </si>
  <si>
    <t>627843494577</t>
  </si>
  <si>
    <t>0438937</t>
  </si>
  <si>
    <t>Dog House Red Vqa Ddp</t>
  </si>
  <si>
    <t>627843494584</t>
  </si>
  <si>
    <r>
      <t xml:space="preserve">Supplying source changing from 6135 - THREE DOG WINERY to </t>
    </r>
    <r>
      <rPr>
        <b/>
        <sz val="11"/>
        <rFont val="Calibri"/>
        <family val="2"/>
        <scheme val="minor"/>
      </rPr>
      <t>0001 - LCBO</t>
    </r>
  </si>
  <si>
    <t>Beau's Tom Green Stout+</t>
  </si>
  <si>
    <t>Bellingham Big Oak Red Shiraz Cab</t>
  </si>
  <si>
    <t>Pelee Island Winery Lola Vidal</t>
  </si>
  <si>
    <t>Lake Of Bays Chai Tea Ale</t>
  </si>
  <si>
    <t>Northern Maverick Brewing Co Fake News Ale</t>
  </si>
  <si>
    <t>Smuttynose Finest Kind Ipa+</t>
  </si>
  <si>
    <t>Pelee Island Gamay Noir Zweigelt Vqa</t>
  </si>
  <si>
    <r>
      <t xml:space="preserve">Label Changing: Product Description will change from Pelee Island Gamay Noir Zweigelt Vqa to </t>
    </r>
    <r>
      <rPr>
        <b/>
        <sz val="11"/>
        <color theme="1"/>
        <rFont val="Calibri"/>
        <family val="2"/>
        <scheme val="minor"/>
      </rPr>
      <t xml:space="preserve">PELEE ISLAND NOIR ZWEIGELT RUGGLES RUN VQA, 1500 mL </t>
    </r>
  </si>
  <si>
    <t>Collective Arts Project Ipa No. 3</t>
  </si>
  <si>
    <t>0398263</t>
  </si>
  <si>
    <t>Sawdust City Lone Pine Ipa</t>
  </si>
  <si>
    <t>818662000074</t>
  </si>
  <si>
    <t>0436980</t>
  </si>
  <si>
    <t>Sawdust City Golden Beach Pale Ale</t>
  </si>
  <si>
    <t>818662000067</t>
  </si>
  <si>
    <t>0449892</t>
  </si>
  <si>
    <t>Sawdust City Gateway Kolsch 473ml</t>
  </si>
  <si>
    <t>818662000043</t>
  </si>
  <si>
    <r>
      <t xml:space="preserve">supplying source changing from LCBO - 0001 to </t>
    </r>
    <r>
      <rPr>
        <b/>
        <sz val="11"/>
        <color theme="1"/>
        <rFont val="Calibri"/>
        <family val="2"/>
        <scheme val="minor"/>
      </rPr>
      <t>producer: 1143 - SAWDUST CITY BREWING CO.</t>
    </r>
  </si>
  <si>
    <t>Red Racer Colaboration Pack East</t>
  </si>
  <si>
    <t>Red Racer Colab Pack West Version</t>
  </si>
  <si>
    <t>Abe Erb Kolsch Style Lagered Ale</t>
  </si>
  <si>
    <t>Abe Erb Brewing Das Spritzhaus Hefeweizen 473 C</t>
  </si>
  <si>
    <r>
      <t xml:space="preserve">supplying source changing from producer: 0596 - ABE ERB/1907142 ONT INC to </t>
    </r>
    <r>
      <rPr>
        <b/>
        <sz val="11"/>
        <rFont val="Calibri"/>
        <family val="2"/>
        <scheme val="minor"/>
      </rPr>
      <t xml:space="preserve"> LCBO - 0001 </t>
    </r>
    <r>
      <rPr>
        <sz val="11"/>
        <rFont val="Calibri"/>
        <family val="2"/>
        <scheme val="minor"/>
      </rPr>
      <t/>
    </r>
  </si>
  <si>
    <t>Sam Adams Helles Lager</t>
  </si>
  <si>
    <t>Creemore Springs Kellerbier.</t>
  </si>
  <si>
    <t>Omnipollo Ipa</t>
  </si>
  <si>
    <r>
      <t xml:space="preserve">supplying source changing from1182 - BRUNSWICK BIER WORKS INC to </t>
    </r>
    <r>
      <rPr>
        <b/>
        <sz val="11"/>
        <rFont val="Calibri"/>
        <family val="2"/>
        <scheme val="minor"/>
      </rPr>
      <t xml:space="preserve"> 1812 - CRAFT BRAND CO</t>
    </r>
  </si>
  <si>
    <t>14 Cabernet Franc (Stoney Ridge)</t>
  </si>
  <si>
    <t>0109991</t>
  </si>
  <si>
    <t>Pelee Island Gewurztraminer Riesling Vqa</t>
  </si>
  <si>
    <t>777081715221</t>
  </si>
  <si>
    <r>
      <t xml:space="preserve">Label Changing: Product Description will change from Pelee Island Gewurztraminer Riesling Vqa  to </t>
    </r>
    <r>
      <rPr>
        <b/>
        <sz val="11"/>
        <rFont val="Calibri"/>
        <family val="2"/>
        <scheme val="minor"/>
      </rPr>
      <t>Pelee Island Tailwind Gewurztraminer Riesling VQA</t>
    </r>
  </si>
  <si>
    <t>0483701</t>
  </si>
  <si>
    <t>Pillitteri Market Collection Sparkling White</t>
  </si>
  <si>
    <t>627128601713</t>
  </si>
  <si>
    <t>0486852</t>
  </si>
  <si>
    <t>Pillitteri Select Late Harvest Riesling</t>
  </si>
  <si>
    <t>627128121105</t>
  </si>
  <si>
    <t>Forked River Mojo Wheat Ale</t>
  </si>
  <si>
    <t>&gt;Riesling Sparkling Limestone Ridge (Tawse)</t>
  </si>
  <si>
    <t>TAWSE WINERY</t>
  </si>
  <si>
    <t>TAWSE WINERY INC.</t>
  </si>
  <si>
    <t>Mid Size</t>
  </si>
  <si>
    <t>Y</t>
  </si>
  <si>
    <t>Canada</t>
  </si>
  <si>
    <t>7 Days</t>
  </si>
  <si>
    <t>LCBO</t>
  </si>
  <si>
    <r>
      <t xml:space="preserve">UPC/SCC codes changing. Old UPC :670459006658  , old SCC : 10670459006655 ; </t>
    </r>
    <r>
      <rPr>
        <b/>
        <sz val="11"/>
        <rFont val="Calibri"/>
        <family val="2"/>
        <scheme val="minor"/>
      </rPr>
      <t>NEW UPC: 670459008294  NEW SCC: 10670459008291</t>
    </r>
  </si>
  <si>
    <t>Sandbanks Sleeping Giant Vqa</t>
  </si>
  <si>
    <t>0361881</t>
  </si>
  <si>
    <t>Sandbanks French Kiss Vqa</t>
  </si>
  <si>
    <t>663935100247</t>
  </si>
  <si>
    <t>0372219</t>
  </si>
  <si>
    <t>Sandbank Pinot Grigio Vqa</t>
  </si>
  <si>
    <t>663935100216</t>
  </si>
  <si>
    <t>0441576</t>
  </si>
  <si>
    <t>Mcguigan Black Label Pinot Grigio</t>
  </si>
  <si>
    <t>764253950641</t>
  </si>
  <si>
    <t>Highlander Brew Lion Grass</t>
  </si>
  <si>
    <r>
      <t xml:space="preserve">Bottle format discontinued by supplier. </t>
    </r>
    <r>
      <rPr>
        <b/>
        <sz val="11"/>
        <rFont val="Calibri"/>
        <family val="2"/>
        <scheme val="minor"/>
      </rPr>
      <t>Can format : LCBO# 544205 Availability TBD</t>
    </r>
  </si>
  <si>
    <r>
      <t xml:space="preserve">Bottle format discontinued by supplier. </t>
    </r>
    <r>
      <rPr>
        <b/>
        <sz val="11"/>
        <rFont val="Calibri"/>
        <family val="2"/>
        <scheme val="minor"/>
      </rPr>
      <t>Can format : LCBO# 0523381 Available now</t>
    </r>
  </si>
  <si>
    <r>
      <t xml:space="preserve">Bottle format discontinued by supplier. </t>
    </r>
    <r>
      <rPr>
        <b/>
        <sz val="11"/>
        <rFont val="Calibri"/>
        <family val="2"/>
        <scheme val="minor"/>
      </rPr>
      <t>Can format : LCBO# 0523399 Available now</t>
    </r>
  </si>
  <si>
    <t>13 Gamechanger White The Visionary (Vineland)</t>
  </si>
  <si>
    <r>
      <t xml:space="preserve">Product Description changing from 13 Gamechanger White The Visionary (Vineland) to </t>
    </r>
    <r>
      <rPr>
        <b/>
        <sz val="11"/>
        <color theme="1"/>
        <rFont val="Calibri"/>
        <family val="2"/>
        <scheme val="minor"/>
      </rPr>
      <t>15 Game Changer White Elegant and Classy (Vineland)</t>
    </r>
  </si>
  <si>
    <t>Iron Spike Blonde Ale</t>
  </si>
  <si>
    <t>Railway City Brewing Co. - Crew Craft Lager</t>
  </si>
  <si>
    <t>Railwau City Brewing Co Iron Spike Copper Ale</t>
  </si>
  <si>
    <t>Railway City The Big Four Pack +</t>
  </si>
  <si>
    <t>Kichisippi Hefeweizen</t>
  </si>
  <si>
    <t>Cassel Brewery White Fog Btl</t>
  </si>
  <si>
    <t>Station Cassel Hoppy Lager</t>
  </si>
  <si>
    <t>Big Rig Maibock+</t>
  </si>
  <si>
    <t>20 Bees Cabernet Merlot Vqa</t>
  </si>
  <si>
    <t>Tree Brewing Thirsty Beaver Amber Ale +</t>
  </si>
  <si>
    <t>Royal City Brewing Smoked Honey Ale</t>
  </si>
  <si>
    <r>
      <t xml:space="preserve">Bottle format discontinued by supplier. </t>
    </r>
    <r>
      <rPr>
        <b/>
        <sz val="11"/>
        <rFont val="Calibri"/>
        <family val="2"/>
        <scheme val="minor"/>
      </rPr>
      <t>Can format : LCBO# 546135 Available now</t>
    </r>
  </si>
  <si>
    <r>
      <t xml:space="preserve">supplying source changing TBS - 0002 to </t>
    </r>
    <r>
      <rPr>
        <b/>
        <sz val="11"/>
        <rFont val="Calibri"/>
        <family val="2"/>
        <scheme val="minor"/>
      </rPr>
      <t xml:space="preserve"> LCBO - 0001 </t>
    </r>
    <r>
      <rPr>
        <sz val="11"/>
        <rFont val="Calibri"/>
        <family val="2"/>
        <scheme val="minor"/>
      </rPr>
      <t/>
    </r>
  </si>
  <si>
    <t>Muskoka Survival Mix Pack Summer 2017+</t>
  </si>
  <si>
    <t>Chardonnay (Burnt Ship Bay Estate Winery)</t>
  </si>
  <si>
    <t>Spotted Cow White Wheat</t>
  </si>
  <si>
    <t>Pillitteri Exclamation Merlot</t>
  </si>
  <si>
    <t>Pillitteri  Exclamation Cabernet Franc</t>
  </si>
  <si>
    <t>Coyote's Run Pinot Noir Vqa</t>
  </si>
  <si>
    <t>Santa Carolina Chardonnay Reserva</t>
  </si>
  <si>
    <t>0394825</t>
  </si>
  <si>
    <t>Black Tower Classic Riesling</t>
  </si>
  <si>
    <t>785859875848</t>
  </si>
  <si>
    <t>0395517</t>
  </si>
  <si>
    <t>Uber Riesling Kabinett Pfalz</t>
  </si>
  <si>
    <t>785859876814</t>
  </si>
  <si>
    <t>Black Tower Dornfelder Pinot Noir Pfalz</t>
  </si>
  <si>
    <t>Miller Genuine Draft 6 Pk-C+</t>
  </si>
  <si>
    <t>D'Ont Poke The Bear Red Vqa</t>
  </si>
  <si>
    <t>Bodegas Castano La Casona Monastrell Yecla</t>
  </si>
  <si>
    <t>V) Pinot Noir Growers Blend (Tawse)</t>
  </si>
  <si>
    <r>
      <t xml:space="preserve">UPC/SCC Codes Updating: Old UPC = 670459006160, old SCC = 10670459006167. </t>
    </r>
    <r>
      <rPr>
        <b/>
        <sz val="11"/>
        <rFont val="Calibri"/>
        <family val="2"/>
        <scheme val="minor"/>
      </rPr>
      <t>NEW UPC = 670459008638, NEW SCC = 10670459008635</t>
    </r>
    <r>
      <rPr>
        <sz val="11"/>
        <rFont val="Calibri"/>
        <family val="2"/>
        <scheme val="minor"/>
      </rPr>
      <t xml:space="preserve"> -  vintage changing from 2012 to 2015</t>
    </r>
  </si>
  <si>
    <t>Smuttynose Robust Porter +</t>
  </si>
  <si>
    <t>Beau's Summer Pack 2017</t>
  </si>
  <si>
    <t>2400 mL</t>
  </si>
  <si>
    <t>Kaiser Beer</t>
  </si>
  <si>
    <r>
      <t xml:space="preserve">UPC/SCC Codes Updating: Old UPC = 9028800751428, old SCC = 9028800754757.  </t>
    </r>
    <r>
      <rPr>
        <b/>
        <sz val="11"/>
        <rFont val="Calibri"/>
        <family val="2"/>
        <scheme val="minor"/>
      </rPr>
      <t>NEW UPC = 9003100120037 NEW SCC = 9028800751428</t>
    </r>
  </si>
  <si>
    <t>suplier no nonger discontinuing - please disregard notice effective 11/7/17</t>
  </si>
  <si>
    <t>Latour Chardonnay Bourgogne</t>
  </si>
  <si>
    <t>3566922001176</t>
  </si>
  <si>
    <t>Latour Bourgogne Gamay</t>
  </si>
  <si>
    <t>3566921000729</t>
  </si>
  <si>
    <t>Chateau Tour Carmail Haut Medoc Aoc</t>
  </si>
  <si>
    <t>3326262110385</t>
  </si>
  <si>
    <t>Chateauneuf-Du-Pape Aoc Chapoutier Lgm</t>
  </si>
  <si>
    <t>3391184190050</t>
  </si>
  <si>
    <t>Le Clairon Des Anges Costiere De Nimes Aop</t>
  </si>
  <si>
    <t>3430560005653</t>
  </si>
  <si>
    <t>Jean Claude Mas Syrah Reserve Pays D'Oc</t>
  </si>
  <si>
    <t>3760040428376</t>
  </si>
  <si>
    <t>Brotte Cotes Du Rhone Esprit Barville White</t>
  </si>
  <si>
    <t>3217661025915</t>
  </si>
  <si>
    <t>Jcb Les Ursulines Bourgogne Chardonnay Aoc</t>
  </si>
  <si>
    <t>3260980023636</t>
  </si>
  <si>
    <t>Torres Coronas Tempranillo Catalunya</t>
  </si>
  <si>
    <t>County Durham Signature Ale (W)</t>
  </si>
  <si>
    <r>
      <t xml:space="preserve">format discontinued by supplier - new format is 473ml can - </t>
    </r>
    <r>
      <rPr>
        <b/>
        <sz val="11"/>
        <rFont val="Calibri"/>
        <family val="2"/>
        <scheme val="minor"/>
      </rPr>
      <t>new LCBO# 492991: UPC = 830677111163, SCC = 10830677111160</t>
    </r>
    <r>
      <rPr>
        <sz val="11"/>
        <rFont val="Calibri"/>
        <family val="2"/>
        <scheme val="minor"/>
      </rPr>
      <t xml:space="preserve"> - available immedietely</t>
    </r>
  </si>
  <si>
    <t>Pelee Island Pinot Noir</t>
  </si>
  <si>
    <t>Product Name Changing from Pelee Island Pinot Noir to NEST Pinot Noir. UPC/SCC remain the same</t>
  </si>
  <si>
    <t>13 Cabernet Merlot Cuddy (Tawse)</t>
  </si>
  <si>
    <t>Camerons 4-Pk-Can Version7</t>
  </si>
  <si>
    <t>Discontinued by supplier - retail price to fall below grocery floor price in 2018</t>
  </si>
  <si>
    <t>Montgras Carmenere Reserva</t>
  </si>
  <si>
    <t>7804407000129</t>
  </si>
  <si>
    <t>0306811</t>
  </si>
  <si>
    <t>Bard's Gold</t>
  </si>
  <si>
    <t>182608000030</t>
  </si>
  <si>
    <t>Bottle format no longer available</t>
  </si>
  <si>
    <t>0053983</t>
  </si>
  <si>
    <t>Barefoot Pinot Grigio</t>
  </si>
  <si>
    <t>085000014448</t>
  </si>
  <si>
    <t>0234351</t>
  </si>
  <si>
    <t>Barefoot Moscato</t>
  </si>
  <si>
    <t>0085000016688</t>
  </si>
  <si>
    <t>0053991</t>
  </si>
  <si>
    <t>Barefoot Merlot</t>
  </si>
  <si>
    <t>018341751109</t>
  </si>
  <si>
    <t>0518274</t>
  </si>
  <si>
    <t>0419671</t>
  </si>
  <si>
    <t>Muskoka Harvest Ale</t>
  </si>
  <si>
    <t xml:space="preserve">628669062032 </t>
  </si>
  <si>
    <t xml:space="preserve">628669010033 </t>
  </si>
  <si>
    <t>0436899</t>
  </si>
  <si>
    <t>Beaus Farm Table Marzen</t>
  </si>
  <si>
    <t>091037995254</t>
  </si>
  <si>
    <t>602573184073</t>
  </si>
  <si>
    <t>0515213</t>
  </si>
  <si>
    <t xml:space="preserve">Pioneer Rifleman Ration </t>
  </si>
  <si>
    <t>0294272</t>
  </si>
  <si>
    <t xml:space="preserve">624327008367 </t>
  </si>
  <si>
    <t>0355396</t>
  </si>
  <si>
    <t>Antigravtity Light Lager</t>
  </si>
  <si>
    <t>870766000084</t>
  </si>
  <si>
    <t>13th Street Burger Blend Ries.P.Grigio Vqa</t>
  </si>
  <si>
    <t>895770008659</t>
  </si>
  <si>
    <t xml:space="preserve">changing from producer : The Thirteenth Street Wine Corp. to Thirteenth Street Wine Corp. </t>
  </si>
  <si>
    <t>20 Bees Riesling Vqa</t>
  </si>
  <si>
    <t>20 Bees Sauvignon Blanc</t>
  </si>
  <si>
    <t>874537022145</t>
  </si>
  <si>
    <t>changing from producer : POST-GAME BREWING CO. to DIAMOND ESTATES WINES &amp; SPIRITS LTD</t>
  </si>
  <si>
    <t>874537007135</t>
  </si>
  <si>
    <t>2173 mL</t>
  </si>
  <si>
    <t>MILL STREET SEASONAL SAMPLER HOLIDAY 2015**</t>
  </si>
  <si>
    <t>855315001224</t>
  </si>
  <si>
    <t>1950 mL</t>
  </si>
  <si>
    <t>Product description revised to remove '2016'</t>
  </si>
  <si>
    <t>056910600601</t>
  </si>
  <si>
    <t>SAPPORO XMAS 2016</t>
  </si>
  <si>
    <t>FAZI BATTAGLIA VERDIC DEI CASTELLI DI JESI</t>
  </si>
  <si>
    <t>632741102011</t>
  </si>
  <si>
    <t>24422</t>
  </si>
  <si>
    <t>71761</t>
  </si>
  <si>
    <t>426742</t>
  </si>
  <si>
    <t>472670</t>
  </si>
  <si>
    <t>469304</t>
  </si>
  <si>
    <t>36434</t>
  </si>
  <si>
    <t>498071</t>
  </si>
  <si>
    <t xml:space="preserve">Pillitteri Carretto Cabernet Select Late Harvest </t>
  </si>
  <si>
    <t>627128113407</t>
  </si>
  <si>
    <t>499053</t>
  </si>
  <si>
    <t>GRANVILLE ISLAND SUMMER ALE</t>
  </si>
  <si>
    <t>779446202445</t>
  </si>
  <si>
    <t>121822</t>
  </si>
  <si>
    <t xml:space="preserve">Cracked Canoe 6 pack bottle </t>
  </si>
  <si>
    <t>776029701975</t>
  </si>
  <si>
    <t>485631</t>
  </si>
  <si>
    <t>627857021004</t>
  </si>
  <si>
    <t>Mike Weir 2014 Vinyasa Red</t>
  </si>
  <si>
    <t>421420</t>
  </si>
  <si>
    <t xml:space="preserve">876584002071 </t>
  </si>
  <si>
    <t>FIELDING ESTATE FIRESIDE RED VQA</t>
  </si>
  <si>
    <t>609857</t>
  </si>
  <si>
    <t>874537082149</t>
  </si>
  <si>
    <t>Eastdell Chardaonnay VQA</t>
  </si>
  <si>
    <t>315911</t>
  </si>
  <si>
    <t>Seasons Meritage</t>
  </si>
  <si>
    <t>750mL</t>
  </si>
  <si>
    <t>626915021130</t>
  </si>
  <si>
    <t>541243</t>
  </si>
  <si>
    <t>Creemore Springs Premium Lager 6pak C</t>
  </si>
  <si>
    <t>627005064068</t>
  </si>
  <si>
    <t>supplying source changing TBS - 0002 to Creemore Springs -1757</t>
  </si>
  <si>
    <t>480715</t>
  </si>
  <si>
    <t>TRUE NORTH INUKSHUK IPA 6-PK-B</t>
  </si>
  <si>
    <t>Name change to MAGNOTTA TRUE NORTH INUKSHUK IPA 6-PK-B</t>
  </si>
  <si>
    <t>727530556424</t>
  </si>
  <si>
    <t>485359</t>
  </si>
  <si>
    <t>STELLINA DI NOTTE PROSECCO DOC</t>
  </si>
  <si>
    <t>0089819719990</t>
  </si>
  <si>
    <t>Discontinued due to case pack change; to become SKU# 547075. New has same UPC code as old 0089819719990</t>
  </si>
  <si>
    <t>435321</t>
  </si>
  <si>
    <t>PELEE ISLAND CABERNET SAUVIGNON MERLOT VQA</t>
  </si>
  <si>
    <t>777081720669</t>
  </si>
  <si>
    <t xml:space="preserve">    </t>
  </si>
  <si>
    <t>Henry Of Pelham Rose Vqa</t>
  </si>
  <si>
    <t>779376416011</t>
  </si>
  <si>
    <t>Forked River Coffee Porter</t>
  </si>
  <si>
    <t>717390416969</t>
  </si>
  <si>
    <t>Eastdell Pinot Grigio Vqa</t>
  </si>
  <si>
    <t>Eastdell Gamay Noir Vqa</t>
  </si>
  <si>
    <t>Eastdell Riesling Vqa</t>
  </si>
  <si>
    <t>Eastdell Rose Vqa</t>
  </si>
  <si>
    <t>Eastdell Pinot Noir Vqa</t>
  </si>
  <si>
    <t>874537084143</t>
  </si>
  <si>
    <t>changing from producer : Eastdell Estates to DIAMOND ESTATES WINES &amp; SPIRITS LTD</t>
  </si>
  <si>
    <t>874537086147</t>
  </si>
  <si>
    <t>874537094142</t>
  </si>
  <si>
    <t>874537081142</t>
  </si>
  <si>
    <t>874537095149</t>
  </si>
  <si>
    <t>874537085140</t>
  </si>
  <si>
    <t>874537090144</t>
  </si>
  <si>
    <t>Cab Sauv (Lakeview)</t>
  </si>
  <si>
    <t>Merlot  (Lakeview)</t>
  </si>
  <si>
    <t>Syrah Vqa (Lakeview Cellars Estate</t>
  </si>
  <si>
    <t>Dan Aykroyd Chardonnay Vqa</t>
  </si>
  <si>
    <t>Dan Aykroyd Cabernet Sauvignon (Diamond Estat</t>
  </si>
  <si>
    <t>15 Cabernet Sauvignon Icewine (Lakeview Cellars)</t>
  </si>
  <si>
    <t>&gt; (V)Vidal Icewine Vqa Nia(Lakeview Cellars)</t>
  </si>
  <si>
    <t>874537107132</t>
  </si>
  <si>
    <t>874537114130</t>
  </si>
  <si>
    <t>874537112136</t>
  </si>
  <si>
    <t>874537076148</t>
  </si>
  <si>
    <t>874537100133</t>
  </si>
  <si>
    <t>874537150145</t>
  </si>
  <si>
    <t>874537063148</t>
  </si>
  <si>
    <t>13 Cabernet Franc Icewine (Niagara Cellars)</t>
  </si>
  <si>
    <t>Fresh Sparkling Rose Vqa*</t>
  </si>
  <si>
    <t>Mcmichael Collection Chardonnay Vqa</t>
  </si>
  <si>
    <t>Mcmichael Collection Cabernet Merlot Vqa</t>
  </si>
  <si>
    <t>Seasons Baco Noir Vqa</t>
  </si>
  <si>
    <t>Seasons Pinot Grigio Vqa</t>
  </si>
  <si>
    <t>Lakeview Cellars Sauvignon Blanc Vqa</t>
  </si>
  <si>
    <t>Seasons Riesling Vqa</t>
  </si>
  <si>
    <t>Seasons Sauvignon Blanc Vqa Diamond Estates Wines</t>
  </si>
  <si>
    <t>Fresh Opportunities Riesling Gewurz Vqa</t>
  </si>
  <si>
    <t>changing from producer : Lakeview Cellars Estate Winery to DIAMOND ESTATES WINES &amp; SPIRITS LTD</t>
  </si>
  <si>
    <t>changing from producer : Niagara Cellars Ltd to DIAMOND ESTATES WINES &amp; SPIRITS LTD</t>
  </si>
  <si>
    <t>874537102113</t>
  </si>
  <si>
    <t>874537044147</t>
  </si>
  <si>
    <t>874537197133</t>
  </si>
  <si>
    <t>874537365143</t>
  </si>
  <si>
    <t>626915015146</t>
  </si>
  <si>
    <t>626915012145</t>
  </si>
  <si>
    <t>874537116134</t>
  </si>
  <si>
    <t>626915018147</t>
  </si>
  <si>
    <t>626915008131</t>
  </si>
  <si>
    <t>874537043140</t>
  </si>
  <si>
    <t>349191</t>
  </si>
  <si>
    <t>13763</t>
  </si>
  <si>
    <t>349233</t>
  </si>
  <si>
    <t>PILLITTERI CARRETTO SERIES CAB MERLOT</t>
  </si>
  <si>
    <t>627128113155</t>
  </si>
  <si>
    <t>PILLITTERI CARRETTO SERIES CABERNET FRANC</t>
  </si>
  <si>
    <t>627128113209</t>
  </si>
  <si>
    <t>PILLITTERI CARRETTO SERIES CAB SAUV</t>
  </si>
  <si>
    <t>627128113100</t>
  </si>
  <si>
    <t>PILLITTERI CARRETTO SELECT LATE HARVEST CAB</t>
  </si>
  <si>
    <t>356006</t>
  </si>
  <si>
    <t>468868</t>
  </si>
  <si>
    <t>048162014008</t>
  </si>
  <si>
    <t>BLACK CELLAR PINOT GRIGIO CHARDONNAY</t>
  </si>
  <si>
    <t>Changing name to BLACK CELLAR PINOT GRIGIO</t>
  </si>
  <si>
    <t>BLACK CELLAR CABERNET-TEMPRANILLO</t>
  </si>
  <si>
    <t>Changing name to BLACK CELLAR CABERNET SAUVIGNON</t>
  </si>
  <si>
    <t>048162014022</t>
  </si>
  <si>
    <t>163477</t>
  </si>
  <si>
    <t>PIAT D'OR MERLOT</t>
  </si>
  <si>
    <t>5010103926607</t>
  </si>
  <si>
    <r>
      <t xml:space="preserve">UPC/SCC Codes Updating: Old UPC = 1847450004443, old SCC = 10184745000048.  </t>
    </r>
    <r>
      <rPr>
        <b/>
        <sz val="11"/>
        <rFont val="Calibri"/>
        <family val="2"/>
        <scheme val="minor"/>
      </rPr>
      <t>NEW UPC = 086003253001 NEW SCC = 30086003253002</t>
    </r>
  </si>
  <si>
    <t>Kung Fu Girl Riesling</t>
  </si>
  <si>
    <t>1847450004443</t>
  </si>
  <si>
    <t>371997</t>
  </si>
  <si>
    <t>INNIS &amp; GUNN ORIGINAL</t>
  </si>
  <si>
    <t>5060190561212</t>
  </si>
  <si>
    <t>SAPPORO XMAS Pack</t>
  </si>
  <si>
    <r>
      <t xml:space="preserve">UPC Code Updating: Old UPC = 5060190561212 &amp; OLD SCC = 4000050601901 ,   </t>
    </r>
    <r>
      <rPr>
        <b/>
        <sz val="11"/>
        <rFont val="Calibri"/>
        <family val="2"/>
        <scheme val="minor"/>
      </rPr>
      <t>NEW UPC = 5060190561465 &amp; NEW SCC = 05060190561229</t>
    </r>
  </si>
  <si>
    <t>DANCING BULL ZINFANDEL</t>
  </si>
  <si>
    <t>85000010181</t>
  </si>
  <si>
    <t>BEAULIEU VINEYARDS COASTAL CAB SAUV</t>
  </si>
  <si>
    <t>5410316111225</t>
  </si>
  <si>
    <t>Spearhead Hawaiian Pale Ale 473</t>
  </si>
  <si>
    <t xml:space="preserve">  473 ML</t>
  </si>
  <si>
    <t>Spearhead Brown Ale 473</t>
  </si>
  <si>
    <r>
      <t xml:space="preserve">supplying source changing from LCBO - 0001 -  to </t>
    </r>
    <r>
      <rPr>
        <b/>
        <sz val="11"/>
        <rFont val="Calibri"/>
        <family val="2"/>
        <scheme val="minor"/>
      </rPr>
      <t xml:space="preserve">0086 Spearhead Brewing Company   </t>
    </r>
    <r>
      <rPr>
        <sz val="11"/>
        <rFont val="Calibri"/>
        <family val="2"/>
        <scheme val="minor"/>
      </rPr>
      <t/>
    </r>
  </si>
  <si>
    <t>874702000091</t>
  </si>
  <si>
    <t>874702000107</t>
  </si>
  <si>
    <r>
      <t xml:space="preserve">UPC/SCC Codes Updating: Old UPC = 874537197133, old SCC = 10874537197130.  </t>
    </r>
    <r>
      <rPr>
        <b/>
        <sz val="11"/>
        <rFont val="Calibri"/>
        <family val="2"/>
        <scheme val="minor"/>
      </rPr>
      <t>NEW UPC = 874537018131  NEW SCC = 10874537018138</t>
    </r>
  </si>
  <si>
    <t>FRESH IDEAS SPARKLING RIESLING VQA*</t>
  </si>
  <si>
    <t>5015759000756</t>
  </si>
  <si>
    <r>
      <t xml:space="preserve">Discontinued by supplier - </t>
    </r>
    <r>
      <rPr>
        <b/>
        <sz val="11"/>
        <rFont val="Calibri"/>
        <family val="2"/>
        <scheme val="minor"/>
      </rPr>
      <t>Format change to 500mL can LCBO #522615 (available now)</t>
    </r>
  </si>
  <si>
    <t>IRON MAIDEN, TROOPER ALE 500mL Bttl</t>
  </si>
  <si>
    <t>immediately</t>
  </si>
  <si>
    <t>Temporarily  discontinued by supplier</t>
  </si>
  <si>
    <t>Temporarily  discontinued - stock out</t>
  </si>
  <si>
    <t>CAROL ANNE IRISH BLONDE</t>
  </si>
  <si>
    <t>627843497967</t>
  </si>
  <si>
    <t>Granville Island- TWO TIDES ALE</t>
  </si>
  <si>
    <t>779446201691</t>
  </si>
  <si>
    <t>03435719</t>
  </si>
  <si>
    <t>MILLER LITE SINGLE CAN</t>
  </si>
  <si>
    <t xml:space="preserve">Innocente Bystander APA </t>
  </si>
  <si>
    <t>879274000012</t>
  </si>
  <si>
    <t>879274000241</t>
  </si>
  <si>
    <t>ANGELS GATE MERLOT VQA</t>
  </si>
  <si>
    <t xml:space="preserve">402492006124 </t>
  </si>
  <si>
    <t>MILLER GENUINE DRAFT</t>
  </si>
  <si>
    <t>Innocente Charcoal Porter 500ml Btl</t>
  </si>
  <si>
    <t>Innocente Conscience IPA 500ml Btl</t>
  </si>
  <si>
    <r>
      <t xml:space="preserve">Discontinued by supplier - </t>
    </r>
    <r>
      <rPr>
        <b/>
        <sz val="11"/>
        <rFont val="Calibri"/>
        <family val="2"/>
        <scheme val="minor"/>
      </rPr>
      <t>Replaced with LCBO #544858 (available now)</t>
    </r>
  </si>
  <si>
    <r>
      <t xml:space="preserve">Discontinued by supplier - </t>
    </r>
    <r>
      <rPr>
        <b/>
        <sz val="11"/>
        <rFont val="Calibri"/>
        <family val="2"/>
        <scheme val="minor"/>
      </rPr>
      <t>Replaced with LCBO #544890 (available now)</t>
    </r>
  </si>
  <si>
    <t>Discontinued by Supplier - REPLACED with 473ml Can LCBO #559856</t>
  </si>
  <si>
    <t>Discontinued by Supplier - REPLACED with 473ml Can LCBO #559864</t>
  </si>
  <si>
    <t>879274000227</t>
  </si>
  <si>
    <t>879274000159</t>
  </si>
  <si>
    <t>Coyotes Run Pinot Grigio VQA</t>
  </si>
  <si>
    <t>Discontinued by supplier - Stock out</t>
  </si>
  <si>
    <t>872086000645</t>
  </si>
  <si>
    <t>VINYASA WHITE VQA</t>
  </si>
  <si>
    <t>627857019001</t>
  </si>
  <si>
    <t>Dinner Jacket O Red IPA</t>
  </si>
  <si>
    <t>627843217381</t>
  </si>
  <si>
    <t xml:space="preserve">Stella Artois </t>
  </si>
  <si>
    <t>786150000670</t>
  </si>
  <si>
    <t>Flat Rock Good Kharma Chardonnay VQA</t>
  </si>
  <si>
    <t>881860300345</t>
  </si>
  <si>
    <t>RED RACER COPPER ALE 6-PK-C</t>
  </si>
  <si>
    <t>628113002461</t>
  </si>
  <si>
    <t>674687100027</t>
  </si>
  <si>
    <t>THORNBURY SPICED APPLE CIDER</t>
  </si>
  <si>
    <t>Extravaganza Red Blend</t>
  </si>
  <si>
    <t>Charles &amp; Charles Chardonnay</t>
  </si>
  <si>
    <t>Ara Pathway Pinot Noir</t>
  </si>
  <si>
    <t>Rosemount Diamond Shiraz</t>
  </si>
  <si>
    <t>9421900742080</t>
  </si>
  <si>
    <t>856622001129</t>
  </si>
  <si>
    <t>7790240094725</t>
  </si>
  <si>
    <t>Flying Monkeys -Aurora Heart 750mL Bottle</t>
  </si>
  <si>
    <t>Flying Monkeys -Genius 6-pack Bottles</t>
  </si>
  <si>
    <t>870766000305</t>
  </si>
  <si>
    <t>870766000107</t>
  </si>
  <si>
    <t>Angry Orchard Green Apple</t>
  </si>
  <si>
    <t>Molson Pear Cider</t>
  </si>
  <si>
    <t>Molson Mixed Pack Cider</t>
  </si>
  <si>
    <t xml:space="preserve">056910850013 </t>
  </si>
  <si>
    <t xml:space="preserve">087692001492 </t>
  </si>
  <si>
    <t xml:space="preserve">056327010451 </t>
  </si>
  <si>
    <r>
      <t>Discontinued by Supplier -Replaced by LCBO</t>
    </r>
    <r>
      <rPr>
        <b/>
        <sz val="11"/>
        <color theme="1"/>
        <rFont val="Calibri"/>
        <family val="2"/>
        <scheme val="minor"/>
      </rPr>
      <t xml:space="preserve"> #553966 Aurora Heart 473mL btl (available now)</t>
    </r>
  </si>
  <si>
    <t xml:space="preserve">BRYGG MARSTENS ORGANIC </t>
  </si>
  <si>
    <t xml:space="preserve">Innocente InnO’Slainte Irish Red Ale 500mL btl </t>
  </si>
  <si>
    <r>
      <t xml:space="preserve">Discontinued by Supplier - </t>
    </r>
    <r>
      <rPr>
        <b/>
        <sz val="11"/>
        <color theme="1"/>
        <rFont val="Calibri"/>
        <family val="2"/>
        <scheme val="minor"/>
      </rPr>
      <t>REPLACED with 473ml Can LCBO #560789 (available now)</t>
    </r>
  </si>
  <si>
    <t xml:space="preserve"> 7311100429404 </t>
  </si>
  <si>
    <t xml:space="preserve">Lake Of Bays Top Shelf Vienna Lager </t>
  </si>
  <si>
    <t>812339000558</t>
  </si>
  <si>
    <t>498501 Jacob’s Creek Moscato Can</t>
  </si>
  <si>
    <t>Strongbow Ginger</t>
  </si>
  <si>
    <t>607278300100</t>
  </si>
  <si>
    <r>
      <t xml:space="preserve">UPC/SCC Codes Updating: Old UPC = 607278300100, old SCC = 10607278300107.  </t>
    </r>
    <r>
      <rPr>
        <b/>
        <sz val="11"/>
        <rFont val="Calibri"/>
        <family val="2"/>
        <scheme val="minor"/>
      </rPr>
      <t xml:space="preserve">NEW UPC = 072783000058  NEW SCC = 80072783000054 </t>
    </r>
    <r>
      <rPr>
        <sz val="11"/>
        <rFont val="Calibri"/>
        <family val="2"/>
        <scheme val="minor"/>
      </rPr>
      <t>(Codes for 1 x 355 mL bottle)</t>
    </r>
  </si>
  <si>
    <t>Anchor Steam 6-pack bottles</t>
  </si>
  <si>
    <t>Muskoka Salty Caramel Truffle</t>
  </si>
  <si>
    <r>
      <t xml:space="preserve">supplying source changing from LCBO - 0001 -  </t>
    </r>
    <r>
      <rPr>
        <b/>
        <sz val="11"/>
        <rFont val="Calibri"/>
        <family val="2"/>
        <scheme val="minor"/>
      </rPr>
      <t>to 3436-MUSKOKA BREWERY</t>
    </r>
  </si>
  <si>
    <t>628669081132</t>
  </si>
  <si>
    <t>9300727022066</t>
  </si>
  <si>
    <t>250 mL</t>
  </si>
  <si>
    <t>5035766045779</t>
  </si>
  <si>
    <t>Kolsch Me Ousside</t>
  </si>
  <si>
    <t>Temporarily  discontinued</t>
  </si>
  <si>
    <t>627843810728</t>
  </si>
  <si>
    <t>RAILWAY CITY BREWING HOLIDAY GIFT PACK</t>
  </si>
  <si>
    <t>856217000308</t>
  </si>
  <si>
    <t>663935100094</t>
  </si>
  <si>
    <t>Sandbanks Shoreline Cab Merlot</t>
  </si>
  <si>
    <t>Piat D'Or Merlot</t>
  </si>
  <si>
    <t>MAURO PRIMITIVO ALBERELLO IGT SALENTO</t>
  </si>
  <si>
    <t>8032610310011</t>
  </si>
  <si>
    <t>TENUTA ST. ANTONIO MONTI GARBI VALPOL</t>
  </si>
  <si>
    <t>832841820987</t>
  </si>
  <si>
    <t>COSTA MEDIANA VALPOLICELLA RIPASSO DOC</t>
  </si>
  <si>
    <t>8033765186605</t>
  </si>
  <si>
    <t xml:space="preserve">Cabernet Sauvignon St. David’s bench </t>
  </si>
  <si>
    <t>Temporarily  discontinued by supplier - Stock out</t>
  </si>
  <si>
    <t>776409534230</t>
  </si>
  <si>
    <r>
      <t xml:space="preserve">Producer NAME change from Charbot Armagnac to: </t>
    </r>
    <r>
      <rPr>
        <b/>
        <sz val="11"/>
        <color theme="1"/>
        <rFont val="Calibri"/>
        <family val="2"/>
        <scheme val="minor"/>
      </rPr>
      <t xml:space="preserve">MARKET BREWING CO. </t>
    </r>
    <r>
      <rPr>
        <sz val="11"/>
        <color theme="1"/>
        <rFont val="Calibri"/>
        <family val="2"/>
        <scheme val="minor"/>
      </rPr>
      <t>(Code # stays same)</t>
    </r>
  </si>
  <si>
    <t>627843756415</t>
  </si>
  <si>
    <t>627843756422</t>
  </si>
  <si>
    <t xml:space="preserve"> 627843756408 </t>
  </si>
  <si>
    <t>BESWICK LAGER</t>
  </si>
  <si>
    <t>FLEE TO PENNSYLVANIA</t>
  </si>
  <si>
    <t>BEAR HUG IPA</t>
  </si>
  <si>
    <t xml:space="preserve">2015 Kittling Ridge Vidal Icewine VQA </t>
  </si>
  <si>
    <t>727530552181</t>
  </si>
  <si>
    <r>
      <t xml:space="preserve">Vintage rollover from 2015 old UPC = 727530552181 and old SCC = 10727530552188 </t>
    </r>
    <r>
      <rPr>
        <b/>
        <sz val="11"/>
        <color theme="1"/>
        <rFont val="Calibri"/>
        <family val="2"/>
        <scheme val="minor"/>
      </rPr>
      <t xml:space="preserve">to 2016 Vintage with New UPC = 727530559418, and New SCC = 10727530559415 </t>
    </r>
  </si>
  <si>
    <t xml:space="preserve">MAGNOTTA TRUE NORTH INUKSHUK IPA 6-PK-B </t>
  </si>
  <si>
    <t>HOPS &amp; ROBBERS UNFILTERED</t>
  </si>
  <si>
    <t>830803000989</t>
  </si>
  <si>
    <t>670459007655</t>
  </si>
  <si>
    <t>TAWSE RIESLING LIMESTONE RIDGE 15</t>
  </si>
  <si>
    <t>GOLDEN RAIL HONEY BROWN ALE</t>
  </si>
  <si>
    <t>627843321651</t>
  </si>
  <si>
    <r>
      <t xml:space="preserve">Shipping format change from 18 per case (old LCBO# 384727) to </t>
    </r>
    <r>
      <rPr>
        <b/>
        <sz val="11"/>
        <color theme="1"/>
        <rFont val="Calibri"/>
        <family val="2"/>
        <scheme val="minor"/>
      </rPr>
      <t>12 per case (New LCBO# 561431)</t>
    </r>
  </si>
  <si>
    <t>034100005627</t>
  </si>
  <si>
    <t>MILLER GENUINE DRAFT 6 PK-B+</t>
  </si>
  <si>
    <r>
      <t xml:space="preserve">Discontinued; changing to </t>
    </r>
    <r>
      <rPr>
        <b/>
        <sz val="11"/>
        <color theme="1"/>
        <rFont val="Calibri"/>
        <family val="2"/>
        <scheme val="minor"/>
      </rPr>
      <t>LCBO 544833 supplied from TBS. (Available Now)</t>
    </r>
  </si>
  <si>
    <t>West Wind Black IPA</t>
  </si>
  <si>
    <t>812339000633</t>
  </si>
  <si>
    <t xml:space="preserve">Discontinued </t>
  </si>
  <si>
    <t xml:space="preserve">Goose Island Mixer Pack </t>
  </si>
  <si>
    <t>62067202391</t>
  </si>
  <si>
    <r>
      <t xml:space="preserve">Discontinued: Replaced by </t>
    </r>
    <r>
      <rPr>
        <b/>
        <sz val="11"/>
        <color theme="1"/>
        <rFont val="Calibri"/>
        <family val="2"/>
        <scheme val="minor"/>
      </rPr>
      <t>NEW LCBO #542001 NEW UPC = 62067412103 (Available Now)</t>
    </r>
  </si>
  <si>
    <t>Cadillac Graveyard Oatmeal Stout -Flying Monkeys</t>
  </si>
  <si>
    <t>870766000428</t>
  </si>
  <si>
    <t>SLEEMAN CLEAR 6X473ML HI-CONE</t>
  </si>
  <si>
    <t>056910304738</t>
  </si>
  <si>
    <r>
      <t xml:space="preserve">Discontinued by supplier; </t>
    </r>
    <r>
      <rPr>
        <b/>
        <sz val="11"/>
        <rFont val="Calibri"/>
        <family val="2"/>
        <scheme val="minor"/>
      </rPr>
      <t xml:space="preserve"> Alternately Order #486142 (Sleeman Clear shrink-Pack UPC 056910304745)</t>
    </r>
  </si>
  <si>
    <t>Henry of Pelham Select Late Vidal</t>
  </si>
  <si>
    <t>779376225514</t>
  </si>
  <si>
    <t xml:space="preserve">Henderson's Best Ale   </t>
  </si>
  <si>
    <t>627843580225</t>
  </si>
  <si>
    <t>VELVET DEVIL MERLOT</t>
  </si>
  <si>
    <t>184745000195</t>
  </si>
  <si>
    <r>
      <t xml:space="preserve">UPC/SCC Codes updating: OLD UPC =184745000195, OLD SCC =10184745000192. </t>
    </r>
    <r>
      <rPr>
        <b/>
        <sz val="11"/>
        <color theme="1"/>
        <rFont val="Calibri"/>
        <family val="2"/>
        <scheme val="minor"/>
      </rPr>
      <t>NEW UPC = 086003253025  NEW SCC =  30086003253026</t>
    </r>
  </si>
  <si>
    <t>Goose Island Endless Ipa</t>
  </si>
  <si>
    <t>062067313356</t>
  </si>
  <si>
    <t xml:space="preserve">Black Creek Apricot Ale </t>
  </si>
  <si>
    <t>624327008725</t>
  </si>
  <si>
    <t>Beau's Wag the Wolf</t>
  </si>
  <si>
    <t>Beau's St. Luke's Verse</t>
  </si>
  <si>
    <t>Beau's Three Knocks</t>
  </si>
  <si>
    <t>Beau's Cherry Milk Stout</t>
  </si>
  <si>
    <t xml:space="preserve">Temporarily  discontinued by supplier </t>
  </si>
  <si>
    <t>091037551641</t>
  </si>
  <si>
    <t>091037826701</t>
  </si>
  <si>
    <t>602573249512</t>
  </si>
  <si>
    <t>602573184189</t>
  </si>
  <si>
    <t>BLACK CREEK RIFLEMANS RATION</t>
  </si>
  <si>
    <t>627843437499</t>
  </si>
  <si>
    <t xml:space="preserve">PondView Lot 74 Red (Cabernet Merlot) </t>
  </si>
  <si>
    <t>832136003545</t>
  </si>
  <si>
    <t>FOSTER'S LAGER</t>
  </si>
  <si>
    <t>070897013315</t>
  </si>
  <si>
    <t>GRANVILLE ISLAND LIONS WINTER ALE</t>
  </si>
  <si>
    <t>779446200472</t>
  </si>
  <si>
    <t>BROWN VAN KOLSCH STYLE ALE</t>
  </si>
  <si>
    <t>627843647850</t>
  </si>
  <si>
    <t>CENTRAL CITY RED RACER PILS</t>
  </si>
  <si>
    <t>628113004410</t>
  </si>
  <si>
    <t>SAPPORO PREMIUM BEER</t>
  </si>
  <si>
    <t>056910600304</t>
  </si>
  <si>
    <r>
      <t xml:space="preserve">Discontinued -supplying source changing from TBS, </t>
    </r>
    <r>
      <rPr>
        <b/>
        <sz val="11"/>
        <color theme="1"/>
        <rFont val="Calibri"/>
        <family val="2"/>
        <scheme val="minor"/>
      </rPr>
      <t>to LCBO - 0001 (new SKU# 546564)</t>
    </r>
  </si>
  <si>
    <t>832136001596</t>
  </si>
  <si>
    <t>PONDVIEW DRAGONFLY PINOT GRIGIO VQA</t>
  </si>
  <si>
    <r>
      <rPr>
        <b/>
        <sz val="11"/>
        <color theme="1"/>
        <rFont val="Calibri"/>
        <family val="2"/>
        <scheme val="minor"/>
      </rPr>
      <t>NEW VINTAGE UPDATE to 2017</t>
    </r>
    <r>
      <rPr>
        <sz val="11"/>
        <color theme="1"/>
        <rFont val="Calibri"/>
        <family val="2"/>
        <scheme val="minor"/>
      </rPr>
      <t xml:space="preserve">: UPC/SCC Codes updating: OLD UPC =832136001596, OLD SCC =10832136001593. </t>
    </r>
    <r>
      <rPr>
        <b/>
        <sz val="11"/>
        <color theme="1"/>
        <rFont val="Calibri"/>
        <family val="2"/>
        <scheme val="minor"/>
      </rPr>
      <t>NEW UPC = 832136001749  NEW SCC =  10832136001746</t>
    </r>
  </si>
  <si>
    <t>776029702958</t>
  </si>
  <si>
    <t>Boundary Ale</t>
  </si>
  <si>
    <t>ROYAL CITY SAISON HIBISCUS</t>
  </si>
  <si>
    <t xml:space="preserve">627843472551 </t>
  </si>
  <si>
    <t xml:space="preserve">Discontinued by supplier; Alternately Order #548701 (ROYAL CITY HIBISCUS SAISON 473 ml CAN UPC 627843472537 ) </t>
  </si>
  <si>
    <t xml:space="preserve">PILLITTERI CARRETTO SERIES DOLCE BLANCO    </t>
  </si>
  <si>
    <t xml:space="preserve">627128601652 </t>
  </si>
  <si>
    <t>09 Pinot Noir Sp Rose Archangel (Angels Gate)</t>
  </si>
  <si>
    <t>Handsome Brut Vqa Angels Gate</t>
  </si>
  <si>
    <t>Cooper's Hawk Riesling Ddp</t>
  </si>
  <si>
    <t>Cooper's Hawke Vineyards Charvivio</t>
  </si>
  <si>
    <t>Cooper's Hawk Vineyard Vidal</t>
  </si>
  <si>
    <t>Cooper's Hawk Vineyards Baco Foch</t>
  </si>
  <si>
    <t>Strewn Ice Time Vidal Icewine Vqa Ddp</t>
  </si>
  <si>
    <t>Cottage Block Riesling Vqa</t>
  </si>
  <si>
    <t>15 Crash Rose (Mike Weir Wine Inc)</t>
  </si>
  <si>
    <t>Stoney Ridge Riesling Vqa Dim Vineyard</t>
  </si>
  <si>
    <t>15 Stoney Ridge Jose Rose</t>
  </si>
  <si>
    <t>Foreign Affair Far &amp; Away Bianco</t>
  </si>
  <si>
    <t>14 Riesling Reserve Vqa (Kacaba)</t>
  </si>
  <si>
    <t>12 Tradition (Kew Vineyards)</t>
  </si>
  <si>
    <t>2010 Old Vine Riesling (Kew Vineyards Estate )</t>
  </si>
  <si>
    <t>12 Sauvignon Blanc (Kew Vineyards Estate Winery)</t>
  </si>
  <si>
    <t>Legends Estates Winery Terroir Sauvignon Blanc</t>
  </si>
  <si>
    <t>River Road Riesling Gewurztraminer Vqa Ddp</t>
  </si>
  <si>
    <t>13 Chardonnay Steel (Reif Estate Winery)</t>
  </si>
  <si>
    <t>13 Chardonnay Estate (Grange Of Prince Edward</t>
  </si>
  <si>
    <t>12 Cab Franc Select (Grange Of Prince Edward)</t>
  </si>
  <si>
    <t>13 Sauvignon Blanc (Vieni Estates)</t>
  </si>
  <si>
    <t>13 Cabernet Franc (Vieni Estates)</t>
  </si>
  <si>
    <t>14 Briganti Reserve (Vieni Estates)</t>
  </si>
  <si>
    <t xml:space="preserve">LEGNDS SPKL ROSE    </t>
  </si>
  <si>
    <t xml:space="preserve">EARTH &amp; SKY RIESL   </t>
  </si>
  <si>
    <t xml:space="preserve">11 BLANC DE NOIR    </t>
  </si>
  <si>
    <t xml:space="preserve">12 TERR MERLOT      </t>
  </si>
  <si>
    <t xml:space="preserve">BRUCE TRAIL RS SP   </t>
  </si>
  <si>
    <t>14 PINOT NOIR PAUL BOSC VQA (CH.CHARMES)</t>
  </si>
  <si>
    <t>776409328587</t>
  </si>
  <si>
    <t>CALIFORNIA SQUARE RED BLEND PASO ROBLES</t>
  </si>
  <si>
    <t xml:space="preserve">812485010838 </t>
  </si>
  <si>
    <t>SUMMER SHACK SEMILLON SAUVIGNON BLANC</t>
  </si>
  <si>
    <t>9338053004821</t>
  </si>
  <si>
    <t>SANTA RITA MEDALLA REAL GR. RES. CARMENERE</t>
  </si>
  <si>
    <t>7804330984138</t>
  </si>
  <si>
    <t>STERLING VINTNER'S SAUVIGNON BLANC</t>
  </si>
  <si>
    <t>088692863868</t>
  </si>
  <si>
    <t>MONKEY BAY PINOT GRIGIO</t>
  </si>
  <si>
    <t>9414498400630</t>
  </si>
  <si>
    <t>MIRASSOU PINOT GRIGIO</t>
  </si>
  <si>
    <t>008500001664</t>
  </si>
  <si>
    <t>838461001003</t>
  </si>
  <si>
    <t>402492006124</t>
  </si>
  <si>
    <t>Angels Gate Merlot VQA</t>
  </si>
  <si>
    <t xml:space="preserve"> 836380027234 </t>
  </si>
  <si>
    <t>838461003014</t>
  </si>
  <si>
    <t xml:space="preserve">Angels GATE  09 REVENGE  </t>
  </si>
  <si>
    <t>402492012545</t>
  </si>
  <si>
    <t>405392012080</t>
  </si>
  <si>
    <t xml:space="preserve">776409000117 </t>
  </si>
  <si>
    <t>Hop City Polly Want A Pilsner</t>
  </si>
  <si>
    <t>776029703504</t>
  </si>
  <si>
    <t>Diabolica Red</t>
  </si>
  <si>
    <t>Diabolica White</t>
  </si>
  <si>
    <t>Creemore Urbock</t>
  </si>
  <si>
    <t>Candy Apple Red</t>
  </si>
  <si>
    <t>874537171133</t>
  </si>
  <si>
    <t>776545500410</t>
  </si>
  <si>
    <t xml:space="preserve">776545500427 </t>
  </si>
  <si>
    <t>627005074012</t>
  </si>
  <si>
    <t>Cassel Caboose IPA 500mL Bottle</t>
  </si>
  <si>
    <t>627843321675</t>
  </si>
  <si>
    <r>
      <t xml:space="preserve">Discontinued by supplier; </t>
    </r>
    <r>
      <rPr>
        <b/>
        <sz val="11"/>
        <color theme="1"/>
        <rFont val="Calibri"/>
        <family val="2"/>
        <scheme val="minor"/>
      </rPr>
      <t>Alternately Order # 569822 Cassel Caboose IPA -473 ml Can, UPC = 628110917058</t>
    </r>
  </si>
  <si>
    <t>PHILIPS BLUE BUCK+</t>
  </si>
  <si>
    <t>818278000635</t>
  </si>
  <si>
    <t>Temporarily Discontinued; supplying source changing from LCBO - 0001 to 9591-PHILLIPS BREWING CO.</t>
  </si>
  <si>
    <t>776029703191</t>
  </si>
  <si>
    <t xml:space="preserve">8594404001449 </t>
  </si>
  <si>
    <t>KOZEL BEER +</t>
  </si>
  <si>
    <r>
      <t xml:space="preserve">UPC/SCC Codes updating: OLD UPC =8594404001449, OLD SCC =18594404001446. </t>
    </r>
    <r>
      <rPr>
        <b/>
        <sz val="11"/>
        <color theme="1"/>
        <rFont val="Calibri"/>
        <family val="2"/>
        <scheme val="minor"/>
      </rPr>
      <t>NEW UPC = 8594404005782  NEW SCC =  18594404014026</t>
    </r>
  </si>
  <si>
    <t>Beau's Farm Table Dunkel</t>
  </si>
  <si>
    <t>602573249505</t>
  </si>
  <si>
    <t>602573249635</t>
  </si>
  <si>
    <t>091037462121</t>
  </si>
  <si>
    <t>091037551672</t>
  </si>
  <si>
    <t>Beau's Lamb's Wool Gruit</t>
  </si>
  <si>
    <t>Beau's Strong Patrick</t>
  </si>
  <si>
    <t>Beau's Tom Green Beer</t>
  </si>
  <si>
    <t>Mill St Welterweight Ipa</t>
  </si>
  <si>
    <t>Waterloo Pilsner</t>
  </si>
  <si>
    <t>Muskoka Mad Tom Ipa 6pk Btl</t>
  </si>
  <si>
    <t>Muskoka Cream Ale 6pk Btl</t>
  </si>
  <si>
    <t>Muskoka Kirbys Kolsch 473ml Can</t>
  </si>
  <si>
    <t>SLING SHOT CALIFORNIA COMMON</t>
  </si>
  <si>
    <t>627843530251</t>
  </si>
  <si>
    <t>Sleeman Railside Session Ale</t>
  </si>
  <si>
    <t>056910240470</t>
  </si>
  <si>
    <t xml:space="preserve">855315002238 </t>
  </si>
  <si>
    <t xml:space="preserve">620707101697 </t>
  </si>
  <si>
    <t xml:space="preserve">776029703504 </t>
  </si>
  <si>
    <t xml:space="preserve">Discontinued by supplier; Alternately order 4x473mL LCBO# 574665, UPC=056910240449 </t>
  </si>
  <si>
    <t xml:space="preserve">062067171109 </t>
  </si>
  <si>
    <t>SHOCK TOP CITRUS RADLER +</t>
  </si>
  <si>
    <t>MUSKOKA SALTY CARAMEL TRUFFLE</t>
  </si>
  <si>
    <r>
      <t xml:space="preserve">Case Pack change from 12 selling units to 24; </t>
    </r>
    <r>
      <rPr>
        <b/>
        <sz val="11"/>
        <color theme="1"/>
        <rFont val="Calibri"/>
        <family val="2"/>
        <scheme val="minor"/>
      </rPr>
      <t>Same UPC; New SCC= 30776029703192, NEW LCBO# = 609248</t>
    </r>
  </si>
  <si>
    <t>TRAFALGAR PEACH MEAD</t>
  </si>
  <si>
    <t>296 mL</t>
  </si>
  <si>
    <t xml:space="preserve">627843437536 </t>
  </si>
  <si>
    <t xml:space="preserve">JEAN CLAUDE MAS ORIGINES MARTINOLLES CHRD </t>
  </si>
  <si>
    <t xml:space="preserve">3760040431345 </t>
  </si>
  <si>
    <t xml:space="preserve">SPIER SIGNATURE MERLOT </t>
  </si>
  <si>
    <t xml:space="preserve">819457000989 </t>
  </si>
  <si>
    <t>Discontinued - retail price to fall below grocery floor price</t>
  </si>
  <si>
    <t xml:space="preserve">JOIY WHITE WINE CAN </t>
  </si>
  <si>
    <t>9421904443006</t>
  </si>
  <si>
    <t xml:space="preserve">WHIPRSNAPR INUKSHUK CANADIAN IPA+ </t>
  </si>
  <si>
    <t>627843497950</t>
  </si>
  <si>
    <t>Creemore Springs Summer 2018 Collection Pack</t>
  </si>
  <si>
    <t>627005034962</t>
  </si>
  <si>
    <t>TRAFALGAR MASALA CHAI MEAD</t>
  </si>
  <si>
    <t xml:space="preserve">627843437512 </t>
  </si>
  <si>
    <t>Stiegl Beer</t>
  </si>
  <si>
    <t>Stiegl Grapefruit Radler</t>
  </si>
  <si>
    <t>90034558</t>
  </si>
  <si>
    <r>
      <t xml:space="preserve">UPC/SCC Codes updating: OLD UPC = 90034558 OLD SCC = 30000090034559. </t>
    </r>
    <r>
      <rPr>
        <b/>
        <sz val="11"/>
        <color theme="1"/>
        <rFont val="Calibri"/>
        <family val="2"/>
        <scheme val="minor"/>
      </rPr>
      <t>NEW UPC = 9003402750086  NEW SCC =  39003402750087</t>
    </r>
  </si>
  <si>
    <t xml:space="preserve">9003403193080 </t>
  </si>
  <si>
    <r>
      <t xml:space="preserve">UPC/SCC Codes updating: OLD UPC = 9003403193080  OLD SCC = 39003400653083. </t>
    </r>
    <r>
      <rPr>
        <b/>
        <sz val="11"/>
        <color theme="1"/>
        <rFont val="Calibri"/>
        <family val="2"/>
        <scheme val="minor"/>
      </rPr>
      <t>NEW UPC = 9003402753087  NEW SCC =  39003402753088</t>
    </r>
  </si>
  <si>
    <t>Muskoka Cream Ale  355x4</t>
  </si>
  <si>
    <t>Muskoka Mad Tom Ipa 355x4</t>
  </si>
  <si>
    <t>Muskoka Detour 355 X 4</t>
  </si>
  <si>
    <t>628669010088</t>
  </si>
  <si>
    <t>628669010415</t>
  </si>
  <si>
    <t>POMMIES CRANBERRY CIDER</t>
  </si>
  <si>
    <t>STEAMWORKS KOLSCH</t>
  </si>
  <si>
    <t xml:space="preserve">874414000112 </t>
  </si>
  <si>
    <t xml:space="preserve">627843091639 </t>
  </si>
  <si>
    <t xml:space="preserve">185902002045 </t>
  </si>
  <si>
    <t>MUSKOKA MAD TOM 6-PK C</t>
  </si>
  <si>
    <t xml:space="preserve">628669080173 </t>
  </si>
  <si>
    <t>Benediktiner Original Helles Lager</t>
  </si>
  <si>
    <t>Brygg Mastarens Gold</t>
  </si>
  <si>
    <t>Innis &amp; Gunn IPA</t>
  </si>
  <si>
    <t>Oskar Blues Dale's Pale Ale</t>
  </si>
  <si>
    <t>St. Peter's English Ale (Organic)</t>
  </si>
  <si>
    <t>Fat Tug IPA</t>
  </si>
  <si>
    <t>Growers Peach Cider 6 Pk-B</t>
  </si>
  <si>
    <t>Rekorderlig Strawberry Lime Cider</t>
  </si>
  <si>
    <t>Wanderoot Cider</t>
  </si>
  <si>
    <t>  500 mL</t>
  </si>
  <si>
    <t xml:space="preserve">  500 mL</t>
  </si>
  <si>
    <t xml:space="preserve">  650 mL</t>
  </si>
  <si>
    <t xml:space="preserve">  473 mL</t>
  </si>
  <si>
    <t xml:space="preserve">056327010345 </t>
  </si>
  <si>
    <t xml:space="preserve">7311100422207 </t>
  </si>
  <si>
    <t xml:space="preserve">063657026908 </t>
  </si>
  <si>
    <t xml:space="preserve">628201000126 </t>
  </si>
  <si>
    <t xml:space="preserve">688444500180 </t>
  </si>
  <si>
    <t xml:space="preserve">819942002009 </t>
  </si>
  <si>
    <t xml:space="preserve">5060190562677 </t>
  </si>
  <si>
    <t xml:space="preserve">7311100421903 </t>
  </si>
  <si>
    <t xml:space="preserve">4052197002455 </t>
  </si>
  <si>
    <t xml:space="preserve"> Pelee Island -Island Time Riesling Vidal</t>
  </si>
  <si>
    <t xml:space="preserve">777081710028 </t>
  </si>
  <si>
    <t>CENTRAL CITY BREWERS BEER LEAGUE LAGER</t>
  </si>
  <si>
    <t xml:space="preserve">4008287051032 </t>
  </si>
  <si>
    <t>Krombacher Pils</t>
  </si>
  <si>
    <t xml:space="preserve">628113004441 </t>
  </si>
  <si>
    <t xml:space="preserve">Burger Blend Gamay Pinot Noir 2017 </t>
  </si>
  <si>
    <t>Burger Blend Riesling Pinot Grigio 2017</t>
  </si>
  <si>
    <t xml:space="preserve">895770009731 </t>
  </si>
  <si>
    <r>
      <t xml:space="preserve">UPC/SCC Codes updating: OLD UPC = 895770009731  OLD SCC = 10895770009738. </t>
    </r>
    <r>
      <rPr>
        <b/>
        <sz val="11"/>
        <color theme="1"/>
        <rFont val="Calibri"/>
        <family val="2"/>
        <scheme val="minor"/>
      </rPr>
      <t>NEW UPC = 895770010003  NEW SCC =  10895770010000</t>
    </r>
  </si>
  <si>
    <t xml:space="preserve">895770008659 </t>
  </si>
  <si>
    <r>
      <t xml:space="preserve">UPC/SCC Codes updating: OLD UPC = 895770008659   OLD SCC = 10895770008656. </t>
    </r>
    <r>
      <rPr>
        <b/>
        <sz val="11"/>
        <color theme="1"/>
        <rFont val="Calibri"/>
        <family val="2"/>
        <scheme val="minor"/>
      </rPr>
      <t>NEW UPC = 895770008802  NEW SCC =  10895770008809</t>
    </r>
  </si>
  <si>
    <t>TAWSE -RIESLING SPARKLING LIMESTONE RIDGE</t>
  </si>
  <si>
    <t xml:space="preserve">670459008294 </t>
  </si>
  <si>
    <r>
      <t xml:space="preserve">UPC/SCC Codes updating: OLD UPC = 670459008294  OLD SCC = 10670459008291. </t>
    </r>
    <r>
      <rPr>
        <b/>
        <sz val="11"/>
        <color theme="1"/>
        <rFont val="Calibri"/>
        <family val="2"/>
        <scheme val="minor"/>
      </rPr>
      <t>NEW UPC = 670459009451  NEW SCC =  10670459009458</t>
    </r>
  </si>
  <si>
    <t>PEC Dunes Beach Beer</t>
  </si>
  <si>
    <t xml:space="preserve">627843693468 </t>
  </si>
  <si>
    <t xml:space="preserve">628079168959 </t>
  </si>
  <si>
    <t>THORNBURY VILLAGE HERITAGE '1833' LAGER</t>
  </si>
  <si>
    <t xml:space="preserve">674687100041 </t>
  </si>
  <si>
    <t>NEUSTADT SCOTTISH PALE ALE</t>
  </si>
  <si>
    <t xml:space="preserve">628079168904 </t>
  </si>
  <si>
    <t xml:space="preserve">628079168911 </t>
  </si>
  <si>
    <t>NEUSTADT 10W30 BROWN ALE</t>
  </si>
  <si>
    <t>Block Three Brewing- King Street Saison</t>
  </si>
  <si>
    <t xml:space="preserve">627843465225 </t>
  </si>
  <si>
    <r>
      <t xml:space="preserve">Discontinued: </t>
    </r>
    <r>
      <rPr>
        <b/>
        <sz val="11"/>
        <color theme="1"/>
        <rFont val="Calibri"/>
        <family val="2"/>
        <scheme val="minor"/>
      </rPr>
      <t>Replaced by LCBO# 541201</t>
    </r>
    <r>
      <rPr>
        <sz val="11"/>
        <color theme="1"/>
        <rFont val="Calibri"/>
        <family val="2"/>
        <scheme val="minor"/>
      </rPr>
      <t xml:space="preserve">, King Street Saison </t>
    </r>
    <r>
      <rPr>
        <b/>
        <sz val="11"/>
        <color theme="1"/>
        <rFont val="Calibri"/>
        <family val="2"/>
        <scheme val="minor"/>
      </rPr>
      <t>473 mL can</t>
    </r>
    <r>
      <rPr>
        <sz val="11"/>
        <color theme="1"/>
        <rFont val="Calibri"/>
        <family val="2"/>
        <scheme val="minor"/>
      </rPr>
      <t xml:space="preserve"> UPC=627843465294, </t>
    </r>
    <r>
      <rPr>
        <b/>
        <sz val="11"/>
        <color theme="1"/>
        <rFont val="Calibri"/>
        <family val="2"/>
        <scheme val="minor"/>
      </rPr>
      <t>Available Now</t>
    </r>
    <r>
      <rPr>
        <sz val="11"/>
        <color theme="1"/>
        <rFont val="Calibri"/>
        <family val="2"/>
        <scheme val="minor"/>
      </rPr>
      <t xml:space="preserve"> </t>
    </r>
  </si>
  <si>
    <t>NEUSTADT 456 MARZEN LAGER</t>
  </si>
  <si>
    <t>BEAU'S FULL TIME IPA</t>
  </si>
  <si>
    <t xml:space="preserve">602573184110 </t>
  </si>
  <si>
    <t>17 PINK PALETTE ROSE (THE THIRTEENTH ST)</t>
  </si>
  <si>
    <t xml:space="preserve">895770011703 </t>
  </si>
  <si>
    <t>FLYING MONKEYS AMBER ALE 6X355ML</t>
  </si>
  <si>
    <t xml:space="preserve">870766000015 </t>
  </si>
  <si>
    <t>MYTHOLOGY GOLDEN PILS FLYING MONKEYS 6X355</t>
  </si>
  <si>
    <t xml:space="preserve">870766000213 </t>
  </si>
  <si>
    <t>MAGNOTTA TRUE NORTH POLAR LAGER 6PK B</t>
  </si>
  <si>
    <t xml:space="preserve">727530556431 </t>
  </si>
  <si>
    <t xml:space="preserve">Trafalgar APA - AMERICAN PALE ALE </t>
  </si>
  <si>
    <t xml:space="preserve">624327008190 </t>
  </si>
  <si>
    <t>NICKEL BROOK GREEN APPLE PILSNER</t>
  </si>
  <si>
    <t>Muskoka Craft Lager 6pk Btl+</t>
  </si>
  <si>
    <t>Muskoka Legendary Oddity 473 Ml Can</t>
  </si>
  <si>
    <t>Lakes Of Muskoka - Muskoka Detour 6pk-C</t>
  </si>
  <si>
    <t>Muskoka Craft Lager 6-Pk-C</t>
  </si>
  <si>
    <t>Muskoka Winter Pack 2017</t>
  </si>
  <si>
    <t xml:space="preserve">628669018091 </t>
  </si>
  <si>
    <t xml:space="preserve">852500001069 </t>
  </si>
  <si>
    <t>NICKEL BROOK CUCUMBER LIME GOSE</t>
  </si>
  <si>
    <t xml:space="preserve">852500001458 </t>
  </si>
  <si>
    <r>
      <t xml:space="preserve">Discontinued by supplier; </t>
    </r>
    <r>
      <rPr>
        <b/>
        <sz val="11"/>
        <color theme="1"/>
        <rFont val="Calibri"/>
        <family val="2"/>
        <scheme val="minor"/>
      </rPr>
      <t>Replaced by LCBO#578120 Cucumber Lime Gose 500 mL UPC=852500001656 Avail. Now</t>
    </r>
    <r>
      <rPr>
        <sz val="11"/>
        <color theme="1"/>
        <rFont val="Calibri"/>
        <family val="2"/>
        <scheme val="minor"/>
      </rPr>
      <t xml:space="preserve"> </t>
    </r>
  </si>
  <si>
    <t xml:space="preserve">628669010385 </t>
  </si>
  <si>
    <t xml:space="preserve">628669010361 </t>
  </si>
  <si>
    <t xml:space="preserve">628669010156 </t>
  </si>
  <si>
    <t xml:space="preserve">628669076015 </t>
  </si>
  <si>
    <t xml:space="preserve">627843695516 </t>
  </si>
  <si>
    <r>
      <t xml:space="preserve">supplying source changing from LCBO - 0001 -  </t>
    </r>
    <r>
      <rPr>
        <b/>
        <sz val="11"/>
        <rFont val="Calibri"/>
        <family val="2"/>
        <scheme val="minor"/>
      </rPr>
      <t>0596-ABE ERB/1907142 ONT INC</t>
    </r>
  </si>
  <si>
    <t xml:space="preserve">882842000031 </t>
  </si>
  <si>
    <t>Furstenberg Pils</t>
  </si>
  <si>
    <t>Beau's Cavalier Bleu</t>
  </si>
  <si>
    <t xml:space="preserve">Bavaria Grapefruit Radler </t>
  </si>
  <si>
    <t xml:space="preserve">Kostritzer Schwarzbier </t>
  </si>
  <si>
    <t>Bobcaygeon Firestarter</t>
  </si>
  <si>
    <t>ABE ERB BREWING DAS SPRITZHAUS HEFEWEIZEN</t>
  </si>
  <si>
    <t xml:space="preserve">4006770010276 </t>
  </si>
  <si>
    <t>SAMUEL ADAMS WINTER LAGER 6 PK-B</t>
  </si>
  <si>
    <t xml:space="preserve">087692901006 </t>
  </si>
  <si>
    <t xml:space="preserve">4014964111555 </t>
  </si>
  <si>
    <t xml:space="preserve">8714800026246 </t>
  </si>
  <si>
    <t xml:space="preserve">602573249635 </t>
  </si>
  <si>
    <t>355 mL</t>
  </si>
  <si>
    <t>Thornbury Village 1833 Heritage Lager 355ml</t>
  </si>
  <si>
    <t xml:space="preserve">674687100058 </t>
  </si>
  <si>
    <t>LAKE OF BAYS WILD NORTH DOPPELBOCK</t>
  </si>
  <si>
    <t xml:space="preserve">812339000657 </t>
  </si>
  <si>
    <t>Flying Monkeys Amber Ale 6x355ml</t>
  </si>
  <si>
    <t>Mythology Canadian Golden Pilsner</t>
  </si>
  <si>
    <t>Mike Weir Chardonnay</t>
  </si>
  <si>
    <t xml:space="preserve">627857010008 </t>
  </si>
  <si>
    <t xml:space="preserve">870766000053 </t>
  </si>
  <si>
    <t xml:space="preserve">Modelo Especial </t>
  </si>
  <si>
    <t>Stonehammer Pilsner-Can</t>
  </si>
  <si>
    <t>Stonehammer Light-Can</t>
  </si>
  <si>
    <t>Stonehammer Oatmeal Stout+</t>
  </si>
  <si>
    <t>Growers Honey Crisp</t>
  </si>
  <si>
    <t xml:space="preserve">063657033395 </t>
  </si>
  <si>
    <t xml:space="preserve">7501064196331 </t>
  </si>
  <si>
    <t xml:space="preserve">628451712077 </t>
  </si>
  <si>
    <t xml:space="preserve">628451712053 </t>
  </si>
  <si>
    <t xml:space="preserve">628451712015 </t>
  </si>
  <si>
    <t>Laker Ice Lager Beer – 6 Pack Bottles</t>
  </si>
  <si>
    <r>
      <t xml:space="preserve">supplying source changing from LCBO - 0001 -  </t>
    </r>
    <r>
      <rPr>
        <b/>
        <sz val="11"/>
        <rFont val="Calibri"/>
        <family val="2"/>
        <scheme val="minor"/>
      </rPr>
      <t>To Producer: 0596-ABE ERB/1907142 ONT INC</t>
    </r>
  </si>
  <si>
    <t>ABE ERB KOLSCH STYLE LAGERED ALE</t>
  </si>
  <si>
    <t xml:space="preserve">882842000017 </t>
  </si>
  <si>
    <t xml:space="preserve">620707856009 </t>
  </si>
  <si>
    <t xml:space="preserve">3340180007794 </t>
  </si>
  <si>
    <t>BOUCHARD AINE &amp; FILS BEAUJOLAIS SUPERIEUR</t>
  </si>
  <si>
    <t>B &amp; G PASSEPORT BORDEAUX WHITE</t>
  </si>
  <si>
    <t xml:space="preserve">3035130200003 </t>
  </si>
  <si>
    <t xml:space="preserve">0089819719990 </t>
  </si>
  <si>
    <t>MOMMESSIN CHATEAUNEUF-DU-PAPE AOC</t>
  </si>
  <si>
    <t xml:space="preserve">3264380016120 </t>
  </si>
  <si>
    <t>ANTANO, RIOJA RESERVA</t>
  </si>
  <si>
    <t xml:space="preserve">8410261148205 </t>
  </si>
  <si>
    <t>VOGA QUATTRO SICILANE IGT</t>
  </si>
  <si>
    <t xml:space="preserve">0218937953805 </t>
  </si>
  <si>
    <t>Beau's Blood Simple</t>
  </si>
  <si>
    <t>Beau's Farm Table Saison</t>
  </si>
  <si>
    <t>870766000152</t>
  </si>
  <si>
    <t>870766000510</t>
  </si>
  <si>
    <t>Flying Monkeys Hoptical Illusion</t>
  </si>
  <si>
    <t>Flying Monkey's Smashbomb Atomic IPA</t>
  </si>
  <si>
    <t xml:space="preserve">602573184103 </t>
  </si>
  <si>
    <t xml:space="preserve">602573057445 </t>
  </si>
  <si>
    <t>Okanagan Premium Dry Pear Cider</t>
  </si>
  <si>
    <t>Okanagan Apple Cider</t>
  </si>
  <si>
    <r>
      <t xml:space="preserve">supplying source changing from LCBO - 0001 -  </t>
    </r>
    <r>
      <rPr>
        <b/>
        <sz val="11"/>
        <rFont val="Calibri"/>
        <family val="2"/>
        <scheme val="minor"/>
      </rPr>
      <t>To Producer: 1761-THE DURHAM BREWING COMPANY</t>
    </r>
  </si>
  <si>
    <t xml:space="preserve">830677111163 </t>
  </si>
  <si>
    <t>COUNTY DURHAM ALE</t>
  </si>
  <si>
    <t xml:space="preserve">779305101728 </t>
  </si>
  <si>
    <t xml:space="preserve">834873000115 </t>
  </si>
  <si>
    <t>Side Launch Dry-Hopped Sour</t>
  </si>
  <si>
    <t>8594404005782</t>
  </si>
  <si>
    <t>Kozel Beer 500 mL can</t>
  </si>
  <si>
    <t xml:space="preserve">8053904770052 </t>
  </si>
  <si>
    <t>FIOL PROSECCO</t>
  </si>
  <si>
    <t>RAYMOND CLASSIC CHARDONNAY</t>
  </si>
  <si>
    <t xml:space="preserve">087447521961 </t>
  </si>
  <si>
    <t xml:space="preserve">087447632070 </t>
  </si>
  <si>
    <t>RAYMOND CLASSIC CABERNET SAUVIGNON</t>
  </si>
  <si>
    <t xml:space="preserve">628055980070 </t>
  </si>
  <si>
    <t xml:space="preserve">Naughty Otter Wheat Ale </t>
  </si>
  <si>
    <t xml:space="preserve">FOUNDERS ALL DAY IPA </t>
  </si>
  <si>
    <t xml:space="preserve">LAKE OF BAYS PINA GRANDE WHEAT ALE </t>
  </si>
  <si>
    <t xml:space="preserve">812339000626 </t>
  </si>
  <si>
    <t xml:space="preserve">PALM AMBER BEER 6 PK-B+ </t>
  </si>
  <si>
    <t xml:space="preserve">859996100023 </t>
  </si>
  <si>
    <t xml:space="preserve">Discontinued by supplier; Replaced by LCBO#Palm Amber Ale+  574947 500 mL UPC=5410783006321 </t>
  </si>
  <si>
    <t xml:space="preserve">642860300243 </t>
  </si>
  <si>
    <t xml:space="preserve">186360000024 </t>
  </si>
  <si>
    <t xml:space="preserve">COLLECTIVE ARTS RHYME &amp; REASON PALE ALE 6 PK-BTL </t>
  </si>
  <si>
    <t>Inniskillin Oaked Chardonnay VQA</t>
  </si>
  <si>
    <t>V. Ink Merlot -Cabernet Mark Of Passion VQA</t>
  </si>
  <si>
    <t xml:space="preserve">620654011018 </t>
  </si>
  <si>
    <t xml:space="preserve">063657029152 </t>
  </si>
  <si>
    <t>Union Red</t>
  </si>
  <si>
    <t>Red Bull</t>
  </si>
  <si>
    <t>056910501359</t>
  </si>
  <si>
    <t xml:space="preserve">627843062523 </t>
  </si>
  <si>
    <t xml:space="preserve">PILLITTERI CARRETTO SERIES ROSE </t>
  </si>
  <si>
    <t xml:space="preserve">PILLITTERI MARKET COLLECTION RED </t>
  </si>
  <si>
    <t>627128601607</t>
  </si>
  <si>
    <t>Product description update to: Market Collection Bianco</t>
  </si>
  <si>
    <t>Product description update to: Market Collection Rosso</t>
  </si>
  <si>
    <t>Product description  update to: Market Collection Rose</t>
  </si>
  <si>
    <t xml:space="preserve">PILLITTERI MARKET COLLECTION WHITE    </t>
  </si>
  <si>
    <t xml:space="preserve">OLD MILWAUKEE </t>
  </si>
  <si>
    <t xml:space="preserve">056910501106 </t>
  </si>
  <si>
    <t>Discontinued -replaced by new SKU# 589192, 473 mL and supplying source is TBS - 0002</t>
  </si>
  <si>
    <t>Discontinued -replaced by new SKU# 586024, 473 mL and supplying source is TBS - 0002</t>
  </si>
  <si>
    <t>Discontinued by supplier; Replaced by sku# 556951</t>
  </si>
  <si>
    <t xml:space="preserve">CHATEAU DES CHARMES CABERNET MERLOT VQA </t>
  </si>
  <si>
    <t xml:space="preserve">15 CAB FRANC GROWER'S BLEND (TAWSE) </t>
  </si>
  <si>
    <t>670459007358</t>
  </si>
  <si>
    <t xml:space="preserve">Flying Monkeys -Deep Tracks American Brown Ale </t>
  </si>
  <si>
    <t>Beyond the Pale Ale Project</t>
  </si>
  <si>
    <t>627128601560</t>
  </si>
  <si>
    <t>627128601553</t>
  </si>
  <si>
    <t>Beau's De Berry's Treasure</t>
  </si>
  <si>
    <t xml:space="preserve">870766000282 </t>
  </si>
  <si>
    <t>TORRES SANGRE DE TORO GARNACHA</t>
  </si>
  <si>
    <t xml:space="preserve">8410113003294 </t>
  </si>
  <si>
    <t xml:space="preserve">628451494027 </t>
  </si>
  <si>
    <t>062067182013</t>
  </si>
  <si>
    <t xml:space="preserve">Discontinued by supplier; Replaced by LCBO#Founders All Day IPA  578443 568 mL   UPC=642860130246 </t>
  </si>
  <si>
    <t>Henry of Pelham -Sibling Rivalry Rose</t>
  </si>
  <si>
    <t xml:space="preserve">779376370917 </t>
  </si>
  <si>
    <t>Magnotta True North Cream Ale 6pk bttls</t>
  </si>
  <si>
    <t xml:space="preserve">727530556417 </t>
  </si>
  <si>
    <t>Skinnygrape Pinot Grigio</t>
  </si>
  <si>
    <t xml:space="preserve">048162013414 </t>
  </si>
  <si>
    <t xml:space="preserve">Waterloo Grapefruit Radler </t>
  </si>
  <si>
    <t xml:space="preserve">620707106746 </t>
  </si>
  <si>
    <t>Lawnchair Weisse</t>
  </si>
  <si>
    <t xml:space="preserve">776029702576 </t>
  </si>
  <si>
    <t>Cool Lager 4-pak</t>
  </si>
  <si>
    <t>Collective Arts  IPA #4</t>
  </si>
  <si>
    <t xml:space="preserve">186360050166 </t>
  </si>
  <si>
    <t xml:space="preserve">081288500024 </t>
  </si>
  <si>
    <t>1364 mL</t>
  </si>
  <si>
    <t>Four In Hand Shiraz Barossa</t>
  </si>
  <si>
    <t>Rolling Grenache Shiraz Mourvedre</t>
  </si>
  <si>
    <t>Mallee Rock Shiraz Cabernet Sauvignon</t>
  </si>
  <si>
    <t>Farm To Table Cabernet Merlot</t>
  </si>
  <si>
    <t>Dona Paula Estate Cabernet Sauvignon</t>
  </si>
  <si>
    <t>Penfolds Koonunga Hill Chardonnay</t>
  </si>
  <si>
    <t>Inception Irresistible White</t>
  </si>
  <si>
    <t>Enigma Cabernet Sauvignon</t>
  </si>
  <si>
    <t>Barefoot Red Moscato</t>
  </si>
  <si>
    <t>Vina Chocalan Chardonnay Reserva</t>
  </si>
  <si>
    <t>Evans &amp; Tate Breathing Space Sauvignon Blanc</t>
  </si>
  <si>
    <t>Villa Maria Lightly Sparkling Sauvignon Blanc</t>
  </si>
  <si>
    <t>Fetzer Merlot</t>
  </si>
  <si>
    <t xml:space="preserve">9316572170043 </t>
  </si>
  <si>
    <t xml:space="preserve">6001108084057 </t>
  </si>
  <si>
    <t xml:space="preserve">7804603661230 </t>
  </si>
  <si>
    <t xml:space="preserve">654910000461 </t>
  </si>
  <si>
    <t xml:space="preserve">9338053004685 </t>
  </si>
  <si>
    <t>Debbie Travis Pinot Grigio VQA</t>
  </si>
  <si>
    <r>
      <t xml:space="preserve">Supplying source changing from LCBO - 0001 -  </t>
    </r>
    <r>
      <rPr>
        <b/>
        <sz val="11"/>
        <rFont val="Calibri"/>
        <family val="2"/>
        <scheme val="minor"/>
      </rPr>
      <t>To Producer: PILLITTERI ESTATES 4499</t>
    </r>
  </si>
  <si>
    <r>
      <t xml:space="preserve">SCC Code updating: OLD SCC = 08002062009221. </t>
    </r>
    <r>
      <rPr>
        <b/>
        <sz val="11"/>
        <color theme="1"/>
        <rFont val="Calibri"/>
        <family val="2"/>
        <scheme val="minor"/>
      </rPr>
      <t xml:space="preserve">NEW SCC =  08002062010296 </t>
    </r>
    <r>
      <rPr>
        <sz val="11"/>
        <color theme="1"/>
        <rFont val="Calibri"/>
        <family val="2"/>
        <scheme val="minor"/>
      </rPr>
      <t>(*UPC remains unchanged)</t>
    </r>
  </si>
  <si>
    <t xml:space="preserve">8002062000068 </t>
  </si>
  <si>
    <t>MASI CAMPOFIORIN IGT</t>
  </si>
  <si>
    <t>HOGSBACK VINTAGE LAGER</t>
  </si>
  <si>
    <t xml:space="preserve">400003987986 </t>
  </si>
  <si>
    <t xml:space="preserve">627128103132 </t>
  </si>
  <si>
    <t>602573395097</t>
  </si>
  <si>
    <t xml:space="preserve"> 776409000292</t>
  </si>
  <si>
    <t xml:space="preserve">9334463000446 </t>
  </si>
  <si>
    <t xml:space="preserve">056049133513 </t>
  </si>
  <si>
    <t xml:space="preserve">836950000100 </t>
  </si>
  <si>
    <t xml:space="preserve">012354071339 </t>
  </si>
  <si>
    <t xml:space="preserve">085000023235 </t>
  </si>
  <si>
    <t xml:space="preserve">085000019894 </t>
  </si>
  <si>
    <t xml:space="preserve">9414416219115 </t>
  </si>
  <si>
    <t xml:space="preserve">082896700394 </t>
  </si>
  <si>
    <t>Magnotta Original Craft Lager 473 ml can</t>
  </si>
  <si>
    <t xml:space="preserve">727530557308 </t>
  </si>
  <si>
    <t>Marius Rouge Pays d'Oc Grenache/Syrah</t>
  </si>
  <si>
    <t xml:space="preserve">WELLS BANANA BREAD BEER </t>
  </si>
  <si>
    <t>Discontinued; Replaced by SKU# 516682 (available in late September)</t>
  </si>
  <si>
    <t xml:space="preserve">3391180003255 </t>
  </si>
  <si>
    <t xml:space="preserve">5000264012776 </t>
  </si>
  <si>
    <t>Skinnygrape Chardonnay</t>
  </si>
  <si>
    <t>Beau's Tom Green Summer Stout</t>
  </si>
  <si>
    <t xml:space="preserve">Beau's Summer Mix </t>
  </si>
  <si>
    <t>Beau's Farm Table Hopfenlager</t>
  </si>
  <si>
    <t>Ara Pathway Sauvignon Blanc</t>
  </si>
  <si>
    <t xml:space="preserve">Moet &amp; Chandon Imperial </t>
  </si>
  <si>
    <r>
      <t xml:space="preserve">SCC Code updating: OLD SCC = 03185370668108. </t>
    </r>
    <r>
      <rPr>
        <b/>
        <sz val="11"/>
        <color theme="1"/>
        <rFont val="Calibri"/>
        <family val="2"/>
        <scheme val="minor"/>
      </rPr>
      <t xml:space="preserve">NEW SCC =  3185370666838  </t>
    </r>
    <r>
      <rPr>
        <sz val="11"/>
        <color theme="1"/>
        <rFont val="Calibri"/>
        <family val="2"/>
        <scheme val="minor"/>
      </rPr>
      <t>(*UPC remains unchanged)</t>
    </r>
  </si>
  <si>
    <t xml:space="preserve">3185370000335 </t>
  </si>
  <si>
    <t>Modelo Especial  473 mL Can</t>
  </si>
  <si>
    <t>7501064195419</t>
  </si>
  <si>
    <t xml:space="preserve">048162013407 </t>
  </si>
  <si>
    <t xml:space="preserve">602573249574 </t>
  </si>
  <si>
    <t xml:space="preserve">602573395059 </t>
  </si>
  <si>
    <t xml:space="preserve">602573184080 </t>
  </si>
  <si>
    <t xml:space="preserve">9421900742073 </t>
  </si>
  <si>
    <r>
      <t xml:space="preserve">OLD UPC = 670459007358  OLD SCC = 10670459007355. </t>
    </r>
    <r>
      <rPr>
        <b/>
        <sz val="11"/>
        <color theme="1"/>
        <rFont val="Calibri"/>
        <family val="2"/>
        <scheme val="minor"/>
      </rPr>
      <t>NEW UPC = 670459008898  NEW SCC =  10670459008895</t>
    </r>
  </si>
  <si>
    <t xml:space="preserve">Frank Beer -No Nonsense Lagered Ale </t>
  </si>
  <si>
    <t xml:space="preserve">040232436604 </t>
  </si>
  <si>
    <t xml:space="preserve">040232463174 </t>
  </si>
  <si>
    <t>Alexander Keiths Original Cider</t>
  </si>
  <si>
    <t>Stella Artois Cider</t>
  </si>
  <si>
    <r>
      <t xml:space="preserve">Supplying source changing from Producer: 2823-JUNCTION CRAFT BREWING </t>
    </r>
    <r>
      <rPr>
        <b/>
        <sz val="11"/>
        <rFont val="Calibri"/>
        <family val="2"/>
        <scheme val="minor"/>
      </rPr>
      <t>To: LCBO - 0001</t>
    </r>
    <r>
      <rPr>
        <sz val="11"/>
        <rFont val="Calibri"/>
        <family val="2"/>
        <scheme val="minor"/>
      </rPr>
      <t xml:space="preserve"> </t>
    </r>
  </si>
  <si>
    <t>MCAUSLAN BREWING RASPBERRY ALE</t>
  </si>
  <si>
    <t xml:space="preserve">055480300447 </t>
  </si>
  <si>
    <t>17PELEE ISLAND RIESLING LATE HARVEST VQA</t>
  </si>
  <si>
    <t xml:space="preserve">777081710349 </t>
  </si>
  <si>
    <t>JUNCTION ENGINEERS IPA CAN 473</t>
  </si>
  <si>
    <t>JUNCTION BLACK LAGER</t>
  </si>
  <si>
    <t xml:space="preserve">612554011007 </t>
  </si>
  <si>
    <t xml:space="preserve">612554002029 </t>
  </si>
  <si>
    <t xml:space="preserve">JUNCTION CONDUCTOR'S CRAFT ALE </t>
  </si>
  <si>
    <t xml:space="preserve">621433999046 </t>
  </si>
  <si>
    <t xml:space="preserve">018200009679 </t>
  </si>
  <si>
    <t xml:space="preserve">Discontinued (Replaced by #632968 500mL can) </t>
  </si>
  <si>
    <t>BODDINGTONS PUB ALE 4 PK-C +</t>
  </si>
  <si>
    <t>1760 mL</t>
  </si>
  <si>
    <t xml:space="preserve">062067423017 </t>
  </si>
  <si>
    <t xml:space="preserve">018200969409 </t>
  </si>
  <si>
    <t xml:space="preserve">5010134911023 </t>
  </si>
  <si>
    <t>FLAGSTONE POETRY CABERNET SAUVIGNON</t>
  </si>
  <si>
    <t xml:space="preserve">Girls’ Night Out BFF Red </t>
  </si>
  <si>
    <t>Easy Rider Rocket Red Can</t>
  </si>
  <si>
    <t>Easy Rider Wicked White Can</t>
  </si>
  <si>
    <t xml:space="preserve">081288500192 </t>
  </si>
  <si>
    <t xml:space="preserve">081288500208 </t>
  </si>
  <si>
    <t xml:space="preserve">779373542027 </t>
  </si>
  <si>
    <t>SMALL TALK BURNING AMBITION WHITE VQA</t>
  </si>
  <si>
    <t xml:space="preserve">779315294786 </t>
  </si>
  <si>
    <t>SMALL TALK FAUX PAS RIESLING SAUV BLANC VQA</t>
  </si>
  <si>
    <t xml:space="preserve">779315264888 </t>
  </si>
  <si>
    <t>Thornbury Cider 6 pack btl</t>
  </si>
  <si>
    <t>Guy Saget Sancerre Blanc</t>
  </si>
  <si>
    <t>Blu Giovello Rosso Venezia Igt</t>
  </si>
  <si>
    <t>Il Viziato Vino Rosso Vdt</t>
  </si>
  <si>
    <t>Allegrini Di Fumane Veneto Rosso Igt</t>
  </si>
  <si>
    <t>Jean Claude Mas Cb Sv Mr Res Pays D'Oc</t>
  </si>
  <si>
    <t>Codorniu Seleccion Raventos Rose</t>
  </si>
  <si>
    <t xml:space="preserve">400003987795 </t>
  </si>
  <si>
    <t xml:space="preserve">3289850011030 </t>
  </si>
  <si>
    <t xml:space="preserve">8410013993626 </t>
  </si>
  <si>
    <t xml:space="preserve">3760040426358 </t>
  </si>
  <si>
    <t xml:space="preserve">8015822020831 </t>
  </si>
  <si>
    <t xml:space="preserve">8053264900304 </t>
  </si>
  <si>
    <t xml:space="preserve">8000468006684 </t>
  </si>
  <si>
    <t xml:space="preserve">VINEMOUNT RIDGE RIESLING (CALAMUS ESTATE) </t>
  </si>
  <si>
    <r>
      <t xml:space="preserve">Supplying source changing from LCBO - 0001 -  </t>
    </r>
    <r>
      <rPr>
        <b/>
        <sz val="11"/>
        <rFont val="Calibri"/>
        <family val="2"/>
        <scheme val="minor"/>
      </rPr>
      <t>To TBS - 0002</t>
    </r>
  </si>
  <si>
    <t xml:space="preserve">Pabst Blue Ribbon 6x355ml </t>
  </si>
  <si>
    <t xml:space="preserve">087692000051 </t>
  </si>
  <si>
    <t>SAMUEL ADAMS BOSTON LAGER 6 PK-B +</t>
  </si>
  <si>
    <t xml:space="preserve">Discontinued by supplier; Replaced by: 575589 (6 pack cans) </t>
  </si>
  <si>
    <t xml:space="preserve">693550000899 </t>
  </si>
  <si>
    <t xml:space="preserve">056910403110 </t>
  </si>
  <si>
    <t xml:space="preserve">VEUVE CLICQUOT BRUT CHAMPAGNE </t>
  </si>
  <si>
    <t>3049610004104</t>
  </si>
  <si>
    <r>
      <t xml:space="preserve">SCC Code updating: OLD SCC = 03049614046919. </t>
    </r>
    <r>
      <rPr>
        <b/>
        <sz val="11"/>
        <color theme="1"/>
        <rFont val="Calibri"/>
        <family val="2"/>
        <scheme val="minor"/>
      </rPr>
      <t xml:space="preserve">NEW SCC = 3049614183522   </t>
    </r>
    <r>
      <rPr>
        <sz val="11"/>
        <color theme="1"/>
        <rFont val="Calibri"/>
        <family val="2"/>
        <scheme val="minor"/>
      </rPr>
      <t>(*UPC remains unchanged)</t>
    </r>
  </si>
  <si>
    <t>Railway City Witty Traveller</t>
  </si>
  <si>
    <t>Railway City Orange Creamsicale</t>
  </si>
  <si>
    <t>Railway City Cranberry Lager</t>
  </si>
  <si>
    <t>Railway City Crew Craft Lager</t>
  </si>
  <si>
    <t>Sleeman Cream Ale 6x341ml</t>
  </si>
  <si>
    <t xml:space="preserve">056910099948 </t>
  </si>
  <si>
    <t>Campofiorin 1500ml 2014-2015</t>
  </si>
  <si>
    <t xml:space="preserve">8002062000419 </t>
  </si>
  <si>
    <r>
      <t xml:space="preserve">SCC Code updating: OLD SCC = 08002062009238 </t>
    </r>
    <r>
      <rPr>
        <b/>
        <sz val="11"/>
        <color theme="1"/>
        <rFont val="Calibri"/>
        <family val="2"/>
        <scheme val="minor"/>
      </rPr>
      <t xml:space="preserve">NEW SCC =  08002062010395  </t>
    </r>
    <r>
      <rPr>
        <sz val="11"/>
        <color theme="1"/>
        <rFont val="Calibri"/>
        <family val="2"/>
        <scheme val="minor"/>
      </rPr>
      <t>(*UPC remains unchanged)</t>
    </r>
  </si>
  <si>
    <t xml:space="preserve">856217000124 </t>
  </si>
  <si>
    <t xml:space="preserve">856217000179 </t>
  </si>
  <si>
    <t xml:space="preserve">856217000193 </t>
  </si>
  <si>
    <t xml:space="preserve">856217000131 </t>
  </si>
  <si>
    <t>CHATEAU DE GOURGAZAUD MINERVOIS AOC</t>
  </si>
  <si>
    <t xml:space="preserve">3497120000121 </t>
  </si>
  <si>
    <t>River Road Cabernet VQA</t>
  </si>
  <si>
    <t>BRICKLAYER'S PREDICAMENT CAB MERLOT VQA</t>
  </si>
  <si>
    <t xml:space="preserve">779373322001 </t>
  </si>
  <si>
    <t>Beau's Buenos Dias</t>
  </si>
  <si>
    <t xml:space="preserve">832136003590 </t>
  </si>
  <si>
    <t>PONDVIEW CABERNET MERLOT 2017</t>
  </si>
  <si>
    <r>
      <t xml:space="preserve">UPC/SCC Codes updating: OLD UPC = 832136003590 OLD SCC = 10832136003597; </t>
    </r>
    <r>
      <rPr>
        <b/>
        <sz val="11"/>
        <color theme="1"/>
        <rFont val="Calibri"/>
        <family val="2"/>
        <scheme val="minor"/>
      </rPr>
      <t>NEW UPC = 832136003651  NEW SCC =  10832136003658</t>
    </r>
  </si>
  <si>
    <t xml:space="preserve">832136001596 </t>
  </si>
  <si>
    <r>
      <t xml:space="preserve">UPC/SCC Codes updating: OLD UPC = 832136001596 OLD SCC = 10832136001593; </t>
    </r>
    <r>
      <rPr>
        <b/>
        <sz val="11"/>
        <color theme="1"/>
        <rFont val="Calibri"/>
        <family val="2"/>
        <scheme val="minor"/>
      </rPr>
      <t>NEW UPC = 832136001749  NEW SCC =  108322136001746</t>
    </r>
  </si>
  <si>
    <t xml:space="preserve">013964998023 </t>
  </si>
  <si>
    <t>Union Red VQA</t>
  </si>
  <si>
    <t>Enigma Chardonnay</t>
  </si>
  <si>
    <t xml:space="preserve">Flying Monkeys Wonderstar Botanical Lager </t>
  </si>
  <si>
    <t xml:space="preserve">870766000695 </t>
  </si>
  <si>
    <t xml:space="preserve">085000023228 </t>
  </si>
  <si>
    <t>MOET &amp; CHANDON IMPERIAL CHAMPAGNE</t>
  </si>
  <si>
    <t xml:space="preserve">3185370063989 </t>
  </si>
  <si>
    <r>
      <t xml:space="preserve">UPC/SCC Codes updating: OLD UPC = 3185370063989, OLD SCC = 03185370512401; </t>
    </r>
    <r>
      <rPr>
        <b/>
        <sz val="11"/>
        <color theme="1"/>
        <rFont val="Calibri"/>
        <family val="2"/>
        <scheme val="minor"/>
      </rPr>
      <t>NEW UPC = 3185370604403  NEW SCC =  3185370613498</t>
    </r>
  </si>
  <si>
    <t>3185370000038</t>
  </si>
  <si>
    <r>
      <t xml:space="preserve">SCC Code updating: OLD SCC = 03185370512081; </t>
    </r>
    <r>
      <rPr>
        <b/>
        <sz val="11"/>
        <color theme="1"/>
        <rFont val="Calibri"/>
        <family val="2"/>
        <scheme val="minor"/>
      </rPr>
      <t xml:space="preserve">NEW SCC =  3185370613498  </t>
    </r>
    <r>
      <rPr>
        <sz val="11"/>
        <color theme="1"/>
        <rFont val="Calibri"/>
        <family val="2"/>
        <scheme val="minor"/>
      </rPr>
      <t>(*UPC remains unchanged)</t>
    </r>
  </si>
  <si>
    <t xml:space="preserve">779320200017 </t>
  </si>
  <si>
    <t xml:space="preserve">Frank Beer -Blondshell Blonde Ale </t>
  </si>
  <si>
    <t>BEAU's BUENOS DIAS GRUIT</t>
  </si>
  <si>
    <t xml:space="preserve">628669018107 </t>
  </si>
  <si>
    <t>Muskoka Summer Survival Pack</t>
  </si>
  <si>
    <t>G. MARQUIS THE RED LINE MERLOT VQA</t>
  </si>
  <si>
    <t>RAPSCALLION Frisky Beaver Red</t>
  </si>
  <si>
    <t>SYMINGTON SAISON</t>
  </si>
  <si>
    <t xml:space="preserve">639667995376 </t>
  </si>
  <si>
    <t xml:space="preserve">727530558879 </t>
  </si>
  <si>
    <t xml:space="preserve">BEAU's FARM TABLE MARZEN </t>
  </si>
  <si>
    <t xml:space="preserve">091037995254 </t>
  </si>
  <si>
    <t>BEAU's MIX FALL 2018</t>
  </si>
  <si>
    <t xml:space="preserve">602573395134 </t>
  </si>
  <si>
    <t xml:space="preserve">627843580300 </t>
  </si>
  <si>
    <r>
      <t xml:space="preserve">UPC Code updating: </t>
    </r>
    <r>
      <rPr>
        <b/>
        <sz val="11"/>
        <color theme="1"/>
        <rFont val="Calibri"/>
        <family val="2"/>
        <scheme val="minor"/>
      </rPr>
      <t xml:space="preserve">NEW UPC = 627843580300    </t>
    </r>
    <r>
      <rPr>
        <sz val="11"/>
        <color theme="1"/>
        <rFont val="Calibri"/>
        <family val="2"/>
        <scheme val="minor"/>
      </rPr>
      <t>(*SCC remains unchanged)</t>
    </r>
  </si>
  <si>
    <t>Barley Days -Harvest Gold Pale Ale 6-pack</t>
  </si>
  <si>
    <t xml:space="preserve">Barley Days -Wind &amp; Sail Dark Ale 6-pack </t>
  </si>
  <si>
    <t xml:space="preserve">Sweetgrass Golden Ale </t>
  </si>
  <si>
    <t xml:space="preserve">699861000016 </t>
  </si>
  <si>
    <t xml:space="preserve">699861000023 </t>
  </si>
  <si>
    <t>Barley Days -Loyalist Lager 341 mL</t>
  </si>
  <si>
    <t xml:space="preserve">824824150013 </t>
  </si>
  <si>
    <t>341 mL</t>
  </si>
  <si>
    <t xml:space="preserve">627843372127 </t>
  </si>
  <si>
    <t>LAKE WILCOX BREWING BLACK HOPS IPA</t>
  </si>
  <si>
    <t xml:space="preserve">627843518983 </t>
  </si>
  <si>
    <t xml:space="preserve">Red Racer ISA 473ml </t>
  </si>
  <si>
    <t xml:space="preserve">628113002522 </t>
  </si>
  <si>
    <t>ASAHI SUPER DRY 6PK-B</t>
  </si>
  <si>
    <t>Discontinued; Replaced by: 572313 (ASAHI SUPER DRY 500 ml cans)</t>
  </si>
  <si>
    <t xml:space="preserve">8855366005600 </t>
  </si>
  <si>
    <t>Amstel Light 6 pk</t>
  </si>
  <si>
    <t xml:space="preserve">639667995505 </t>
  </si>
  <si>
    <t>SMOKE &amp; GAMBLE CHARDONNAY RESERVE VQA</t>
  </si>
  <si>
    <t>SMOKE &amp; GAMBLE CHARDONNAY VQA 2016</t>
  </si>
  <si>
    <t xml:space="preserve">639667995543 </t>
  </si>
  <si>
    <t>SMOKE &amp; GAMBLE CABERNET MERLOT RESERVE VQA</t>
  </si>
  <si>
    <t xml:space="preserve">639667995529 </t>
  </si>
  <si>
    <t xml:space="preserve">639667995833 </t>
  </si>
  <si>
    <t>RAPSCALLION WINE CRAPPY WINE -CRAPPY WHITE</t>
  </si>
  <si>
    <t>RAPSCALLION WINE FRISKY BEAVER COCKY CAB</t>
  </si>
  <si>
    <t xml:space="preserve">639667995468 </t>
  </si>
  <si>
    <t>FRISKY BEAVER RAVISHING RIESLING VQA</t>
  </si>
  <si>
    <t xml:space="preserve">639667995413 </t>
  </si>
  <si>
    <t>FRISKY BEAVER BLUSHING BEAVER BLUSH</t>
  </si>
  <si>
    <t xml:space="preserve">639667995383 </t>
  </si>
  <si>
    <t>LORD OF THE LUPULIN PALE</t>
  </si>
  <si>
    <t xml:space="preserve">040232474965 </t>
  </si>
  <si>
    <t>Discontinued; Replaced by: 639567 (RED RACER SESSION IPA 500mL)</t>
  </si>
  <si>
    <t>PILLITTERI MARKET COLLECTION CAB MERLOT</t>
  </si>
  <si>
    <t xml:space="preserve">627128601454 </t>
  </si>
  <si>
    <t xml:space="preserve">627128601553 </t>
  </si>
  <si>
    <t>PILLITTERI MARKET COLLECTION ROSE</t>
  </si>
  <si>
    <t>Muskoka Cool As A Cuke 4x473ml Can</t>
  </si>
  <si>
    <t>Birch Bark White IPA</t>
  </si>
  <si>
    <t>Magnotta True North Copper Altbier</t>
  </si>
  <si>
    <t>Magnotta True North Strong Ale</t>
  </si>
  <si>
    <t xml:space="preserve">727530560506 </t>
  </si>
  <si>
    <t xml:space="preserve">727530560544 </t>
  </si>
  <si>
    <t xml:space="preserve">627843695523 </t>
  </si>
  <si>
    <t xml:space="preserve">628669050312 </t>
  </si>
  <si>
    <t xml:space="preserve">639667995420 </t>
  </si>
  <si>
    <t xml:space="preserve">639667995369 </t>
  </si>
  <si>
    <t>RAPSCALLION Frisky Beaver White</t>
  </si>
  <si>
    <t>RAPSCALLION Frisky Beaver Chard</t>
  </si>
  <si>
    <t>Piccini Villa Al Cortile Rosso Di Montalcino, Doc</t>
  </si>
  <si>
    <r>
      <t xml:space="preserve">UPC/SCC Codes updating: OLD UPC = 3497120000121, OLD SCC = 13497120000128; </t>
    </r>
    <r>
      <rPr>
        <b/>
        <sz val="11"/>
        <color theme="1"/>
        <rFont val="Calibri"/>
        <family val="2"/>
        <scheme val="minor"/>
      </rPr>
      <t>NEW UPC = 03497120000015  NEW SCC =  1034971200000128</t>
    </r>
  </si>
  <si>
    <t xml:space="preserve">8008960146068 </t>
  </si>
  <si>
    <t xml:space="preserve">8002793960334 </t>
  </si>
  <si>
    <t xml:space="preserve">Discontinued; Replaced by: 645408 </t>
  </si>
  <si>
    <t>Magnotta Small Batch Cider</t>
  </si>
  <si>
    <t>SAM ADAMS HELLES LAGER</t>
  </si>
  <si>
    <t xml:space="preserve">087692005292 </t>
  </si>
  <si>
    <t xml:space="preserve">727530555380 </t>
  </si>
  <si>
    <t xml:space="preserve">621433023116 </t>
  </si>
  <si>
    <t>Wellington Re-Booted Mix Pack Vol4 </t>
  </si>
  <si>
    <t xml:space="preserve">CONO SUR SPARKLING ROSE </t>
  </si>
  <si>
    <t xml:space="preserve">7804320493749 </t>
  </si>
  <si>
    <t xml:space="preserve">BERINGER SPARKLING WHITE ZINFANDEL </t>
  </si>
  <si>
    <t xml:space="preserve">089819776344 </t>
  </si>
  <si>
    <t xml:space="preserve">Beaus Four Flower Gruit </t>
  </si>
  <si>
    <t xml:space="preserve">602573395127 </t>
  </si>
  <si>
    <t xml:space="preserve">MALIVOIRE GUILTY MEN RED VQA </t>
  </si>
  <si>
    <t xml:space="preserve">786934484580 </t>
  </si>
  <si>
    <t>Asahi Super Dry</t>
  </si>
  <si>
    <t xml:space="preserve">Side Launch Pale Ale </t>
  </si>
  <si>
    <t xml:space="preserve">WOODBRIDGE BY ROBERT MONDAVI MOSCATO </t>
  </si>
  <si>
    <t>086003004108</t>
  </si>
  <si>
    <t xml:space="preserve">AVA GRACE RED BLEND </t>
  </si>
  <si>
    <t xml:space="preserve">081308003917 </t>
  </si>
  <si>
    <t>14 HANDS HOT TO TROT RED BLEND</t>
  </si>
  <si>
    <t>088586004483</t>
  </si>
  <si>
    <t xml:space="preserve">PONDVIEW LOT 74 CHARDONNAY RIESLING GEWUR </t>
  </si>
  <si>
    <t>832136001527</t>
  </si>
  <si>
    <t xml:space="preserve">5060006410031 </t>
  </si>
  <si>
    <t xml:space="preserve">834873000030 </t>
  </si>
  <si>
    <t>GIRLS' NIGHT OUT SPARKLING VQA</t>
  </si>
  <si>
    <t xml:space="preserve">779373545004 </t>
  </si>
  <si>
    <t>Cavas Hill 1887 Brut</t>
  </si>
  <si>
    <t xml:space="preserve">8420418005015 </t>
  </si>
  <si>
    <t xml:space="preserve">LES DAUPHINS COTES DU RHONE RESERVE WHITE AOC    </t>
  </si>
  <si>
    <t xml:space="preserve">3179077472151 </t>
  </si>
  <si>
    <t xml:space="preserve">PATRIARCHE PINOT NOIR PAYS D'OC </t>
  </si>
  <si>
    <t>3040072467681</t>
  </si>
  <si>
    <t xml:space="preserve">NUGAN ESTATE ALFREDO SECOND PASS SHIRAZ    </t>
  </si>
  <si>
    <t xml:space="preserve">9329056002471 </t>
  </si>
  <si>
    <t xml:space="preserve">LINDEMANS BIN 40 MERLOT </t>
  </si>
  <si>
    <t>012354089983</t>
  </si>
  <si>
    <t xml:space="preserve">ROLLING PINOT GRIGIO </t>
  </si>
  <si>
    <t>9334463000422</t>
  </si>
  <si>
    <t xml:space="preserve">SANTA RITA MEDALLA REAL GRAN RESERVA CAB SAUV </t>
  </si>
  <si>
    <t xml:space="preserve">089419007176 </t>
  </si>
  <si>
    <t>SANTA RITA RESERVA CARMENERE</t>
  </si>
  <si>
    <t>89419350975</t>
  </si>
  <si>
    <t xml:space="preserve">499137   </t>
  </si>
  <si>
    <t>Lake Wilcox Brewing Bandit Apa</t>
  </si>
  <si>
    <t xml:space="preserve">GUILTY MEN RIES SAUVIGNON BL VQA </t>
  </si>
  <si>
    <t xml:space="preserve">786934469488 </t>
  </si>
  <si>
    <t>LONGHAND SAUVIGNON BLANC VQA</t>
  </si>
  <si>
    <t xml:space="preserve">063657034699 </t>
  </si>
  <si>
    <t xml:space="preserve">LONGHAND MERLOT-CABERNET VQA </t>
  </si>
  <si>
    <t xml:space="preserve">063657034705 </t>
  </si>
  <si>
    <t xml:space="preserve">627843518990 </t>
  </si>
  <si>
    <t xml:space="preserve">602573249512 </t>
  </si>
  <si>
    <t>BEAU'S THREE KNOCKS STICKE ALT</t>
  </si>
  <si>
    <t>Clos Du Bois Caberbet Sauvignon</t>
  </si>
  <si>
    <t>Thelema Mountain Red</t>
  </si>
  <si>
    <t>087356953457</t>
  </si>
  <si>
    <t xml:space="preserve">859982000078 </t>
  </si>
  <si>
    <t xml:space="preserve">FETZER GEWURZTRAMINER </t>
  </si>
  <si>
    <t xml:space="preserve">082896700257 </t>
  </si>
  <si>
    <t xml:space="preserve">TRAPICHE EXTRA BRUT SPARKLING </t>
  </si>
  <si>
    <t xml:space="preserve">7790240041484 </t>
  </si>
  <si>
    <t xml:space="preserve">081308003528 </t>
  </si>
  <si>
    <t>AVA GRACE SAUVIGNON BLANC</t>
  </si>
  <si>
    <t xml:space="preserve">COLUMBIA WINERY CHARDONNAY </t>
  </si>
  <si>
    <t xml:space="preserve">080387200019 </t>
  </si>
  <si>
    <t xml:space="preserve">FOLONARI PINK PINOT GRIGIO VENEZIA IGT* </t>
  </si>
  <si>
    <t xml:space="preserve">8000160630309 </t>
  </si>
  <si>
    <t>BURNT SHIP BAY CABERNET MERLOT VQA</t>
  </si>
  <si>
    <t xml:space="preserve">BURNT SHIP BAY PINOT GRIGIO VQA </t>
  </si>
  <si>
    <t>832136008038</t>
  </si>
  <si>
    <r>
      <t xml:space="preserve">UPC/SCC Codes updating: OLD UPC = 832136008038, OLD SCC = 10832136008035; </t>
    </r>
    <r>
      <rPr>
        <b/>
        <sz val="11"/>
        <color theme="1"/>
        <rFont val="Calibri"/>
        <family val="2"/>
        <scheme val="minor"/>
      </rPr>
      <t>NEW UPC = 832136008052  NEW SCC =  10832136008059</t>
    </r>
  </si>
  <si>
    <t>832136007086</t>
  </si>
  <si>
    <r>
      <t xml:space="preserve">UPC/SCC Codes updating: OLD UPC = 832136007086, OLD SCC = 10832136007083; </t>
    </r>
    <r>
      <rPr>
        <b/>
        <sz val="11"/>
        <color theme="1"/>
        <rFont val="Calibri"/>
        <family val="2"/>
        <scheme val="minor"/>
      </rPr>
      <t>NEW UPC = 832136007130  NEW SCC =  10832136007137</t>
    </r>
  </si>
  <si>
    <t>249433</t>
  </si>
  <si>
    <t xml:space="preserve">SPATEN ORIGINAL MUNICH BEER+ </t>
  </si>
  <si>
    <t xml:space="preserve">4072700001768 </t>
  </si>
  <si>
    <t>NORSE GOLDEN ALE</t>
  </si>
  <si>
    <t xml:space="preserve">627843742579 </t>
  </si>
  <si>
    <t>627128116101</t>
  </si>
  <si>
    <t xml:space="preserve">PILLITTERI GEWURZTRAMINER/RIESLING VQA </t>
  </si>
  <si>
    <r>
      <t xml:space="preserve">Supplying source changing from LCBO - 0001 -  To </t>
    </r>
    <r>
      <rPr>
        <b/>
        <sz val="11"/>
        <color theme="1"/>
        <rFont val="Calibri"/>
        <family val="2"/>
        <scheme val="minor"/>
      </rPr>
      <t>Producer - 4499 PILLITTERI ESTATES</t>
    </r>
  </si>
  <si>
    <t xml:space="preserve">BEAU's Farm Table ESB </t>
  </si>
  <si>
    <t xml:space="preserve">BEAU's Halcyon Infinity Mirror </t>
  </si>
  <si>
    <t xml:space="preserve">602573184097 </t>
  </si>
  <si>
    <t xml:space="preserve">602573395486 </t>
  </si>
  <si>
    <t>Nickelbrook Maple Porter Can</t>
  </si>
  <si>
    <t>Nickelbrook Raspberry Berliner</t>
  </si>
  <si>
    <t>Nickel.Brook Paysan Saison 473</t>
  </si>
  <si>
    <t>Nickel Brook Wet Hop Pale Ale</t>
  </si>
  <si>
    <t>Nickel Brook Brett Pale Ale 375ml B</t>
  </si>
  <si>
    <t>852500001236</t>
  </si>
  <si>
    <t>852500001427</t>
  </si>
  <si>
    <t>852500001410</t>
  </si>
  <si>
    <t>852500001441</t>
  </si>
  <si>
    <t>852500001472</t>
  </si>
  <si>
    <t xml:space="preserve">Muskoka Harvest Ale </t>
  </si>
  <si>
    <t xml:space="preserve">ERNEST WILD BLUEBERRY CIDER </t>
  </si>
  <si>
    <t>Ernest Holiday Pack</t>
  </si>
  <si>
    <t xml:space="preserve">628451939887 </t>
  </si>
  <si>
    <t xml:space="preserve">062845193996 </t>
  </si>
  <si>
    <t xml:space="preserve">Miller High Life 4x6 Btls </t>
  </si>
  <si>
    <t>Saucy Cider (Villa Nova Estate Winery)</t>
  </si>
  <si>
    <t xml:space="preserve">627843649748 </t>
  </si>
  <si>
    <t xml:space="preserve">034100015053 </t>
  </si>
  <si>
    <t xml:space="preserve">CREEMORE SPRINGS PREMIUM LAGER </t>
  </si>
  <si>
    <t xml:space="preserve">627005064013 </t>
  </si>
  <si>
    <t xml:space="preserve">CREEMORE SPRINGS LOT 9 PILSNER </t>
  </si>
  <si>
    <t xml:space="preserve">627005804015 </t>
  </si>
  <si>
    <t xml:space="preserve">CREEMORE SPRINGS MAD &amp; NOISY LAGERED ALE </t>
  </si>
  <si>
    <t xml:space="preserve">627005534011 </t>
  </si>
  <si>
    <t>LUCKY LAGER 6 pack cans</t>
  </si>
  <si>
    <t>062067355349</t>
  </si>
  <si>
    <t xml:space="preserve">LEONARDO CHIANTI DOCG </t>
  </si>
  <si>
    <t xml:space="preserve">8007116011106 </t>
  </si>
  <si>
    <r>
      <t xml:space="preserve">Case pack = 8 units discontinued by supplier - </t>
    </r>
    <r>
      <rPr>
        <b/>
        <sz val="11"/>
        <color theme="1"/>
        <rFont val="Calibri"/>
        <family val="2"/>
        <scheme val="minor"/>
      </rPr>
      <t xml:space="preserve">effective Feb 23/19 change to case pack 12 LCBO Item #666917 SCC# 627005064129 </t>
    </r>
    <r>
      <rPr>
        <sz val="11"/>
        <color theme="1"/>
        <rFont val="Calibri"/>
        <family val="2"/>
        <scheme val="minor"/>
      </rPr>
      <t>.  No change to UPC</t>
    </r>
  </si>
  <si>
    <r>
      <t xml:space="preserve">Case pack = 8 units discontinued by supplier - </t>
    </r>
    <r>
      <rPr>
        <b/>
        <sz val="11"/>
        <color theme="1"/>
        <rFont val="Calibri"/>
        <family val="2"/>
        <scheme val="minor"/>
      </rPr>
      <t>effective Feb 23/19 change to case pack 12 LCBO Item #666966 SCC#6 27005804121</t>
    </r>
    <r>
      <rPr>
        <sz val="11"/>
        <color theme="1"/>
        <rFont val="Calibri"/>
        <family val="2"/>
        <scheme val="minor"/>
      </rPr>
      <t xml:space="preserve"> .  No change to UPC</t>
    </r>
  </si>
  <si>
    <r>
      <t xml:space="preserve">Case pack = 8 units discontinued by supplier - </t>
    </r>
    <r>
      <rPr>
        <b/>
        <sz val="11"/>
        <color theme="1"/>
        <rFont val="Calibri"/>
        <family val="2"/>
        <scheme val="minor"/>
      </rPr>
      <t>effective Feb 23/19 change to case pack 12 LCBO Item #666974 SCC# 627005534127 .</t>
    </r>
    <r>
      <rPr>
        <sz val="11"/>
        <color theme="1"/>
        <rFont val="Calibri"/>
        <family val="2"/>
        <scheme val="minor"/>
      </rPr>
      <t xml:space="preserve">  No change to UPC</t>
    </r>
  </si>
  <si>
    <t>Wellington County Brown Ale 6x355ml Bottles</t>
  </si>
  <si>
    <t>Wellington Special Pale Ale 6x355ml Bottles</t>
  </si>
  <si>
    <t xml:space="preserve">Laker Lager 6pk bottles </t>
  </si>
  <si>
    <t xml:space="preserve">020707001537 </t>
  </si>
  <si>
    <t>Gosser Beer</t>
  </si>
  <si>
    <t>Pommies Red Sangria</t>
  </si>
  <si>
    <t>Pioneer Brewery-Black Creek Riflemans Ration</t>
  </si>
  <si>
    <t>SEASONS SAUVIGNON BLANC VQA</t>
  </si>
  <si>
    <t xml:space="preserve">626915008131 </t>
  </si>
  <si>
    <t xml:space="preserve">SEASONS PINOT GRIGIO VQA </t>
  </si>
  <si>
    <r>
      <t xml:space="preserve">Discontinued by supplier </t>
    </r>
    <r>
      <rPr>
        <b/>
        <sz val="11"/>
        <color theme="1"/>
        <rFont val="Calibri"/>
        <family val="2"/>
        <scheme val="minor"/>
      </rPr>
      <t>(to be replaced by 666743, ETA TBD, supplying source 0002 TBS)</t>
    </r>
  </si>
  <si>
    <t>Creemore 541243 6 x 473 ml cans</t>
  </si>
  <si>
    <t>Collective Arts Saint Of Circumstance</t>
  </si>
  <si>
    <t>Collective Arts Ransack The Universe 6x355ml</t>
  </si>
  <si>
    <t>Collective Arts Project Harvest Saison 473-C</t>
  </si>
  <si>
    <t>Collective Arts Project Gose Basil &amp; Cranberry</t>
  </si>
  <si>
    <t>Collective Arts Juniper &amp; Lemon Cider</t>
  </si>
  <si>
    <t>Collective Arts Project Gose Guava</t>
  </si>
  <si>
    <t>Collective Arts Honey &amp; Lavender Cider</t>
  </si>
  <si>
    <t>Collective Arts Project Dark Fruit Gose</t>
  </si>
  <si>
    <t>Collective Arts Liquid Art Fest Ipa</t>
  </si>
  <si>
    <t>Collective Arts Ginger &amp; Lime Berliner Weisse</t>
  </si>
  <si>
    <t>Collective Arts Project Ipa No. 6</t>
  </si>
  <si>
    <t>Collective Arts Passionfruit &amp; Peach Dry Hop Sour</t>
  </si>
  <si>
    <t>186360000062</t>
  </si>
  <si>
    <t>186360000222</t>
  </si>
  <si>
    <t>186360050005</t>
  </si>
  <si>
    <t>186360050067</t>
  </si>
  <si>
    <t>186360050050</t>
  </si>
  <si>
    <t>186360000635</t>
  </si>
  <si>
    <t>186360050128</t>
  </si>
  <si>
    <t>186360000642</t>
  </si>
  <si>
    <t>186360050135</t>
  </si>
  <si>
    <t>186360000628</t>
  </si>
  <si>
    <t>186360050302</t>
  </si>
  <si>
    <t>186360050234</t>
  </si>
  <si>
    <t>186360050319</t>
  </si>
  <si>
    <t>186360050241</t>
  </si>
  <si>
    <t>186360050289</t>
  </si>
  <si>
    <t xml:space="preserve">9001511100617 </t>
  </si>
  <si>
    <t xml:space="preserve">627005064068 </t>
  </si>
  <si>
    <t xml:space="preserve">627843091653 </t>
  </si>
  <si>
    <t xml:space="preserve">621433005099 </t>
  </si>
  <si>
    <t xml:space="preserve">621433006096 </t>
  </si>
  <si>
    <t xml:space="preserve">627843437499 </t>
  </si>
  <si>
    <t xml:space="preserve">Temporarily discontinued </t>
  </si>
  <si>
    <t xml:space="preserve">MOET &amp; CHANDON BRUT ROSE </t>
  </si>
  <si>
    <t xml:space="preserve">3185370074831 </t>
  </si>
  <si>
    <r>
      <t>Holiday 2018 Gift box rollover  old SCC = 3185370667583 to</t>
    </r>
    <r>
      <rPr>
        <b/>
        <sz val="11"/>
        <color theme="1"/>
        <rFont val="Calibri"/>
        <family val="2"/>
        <scheme val="minor"/>
      </rPr>
      <t xml:space="preserve"> New SCC = 3185370474181</t>
    </r>
  </si>
  <si>
    <t xml:space="preserve">CHATEAU DE GOURGAZAUD MINERVOIS AOC </t>
  </si>
  <si>
    <t>349712000001</t>
  </si>
  <si>
    <r>
      <t xml:space="preserve">UPC Codes updating: OLD UPC =349712000001,  </t>
    </r>
    <r>
      <rPr>
        <b/>
        <sz val="11"/>
        <color theme="1"/>
        <rFont val="Calibri"/>
        <family val="2"/>
        <scheme val="minor"/>
      </rPr>
      <t>NEW UPC = 3497120000015</t>
    </r>
  </si>
  <si>
    <t>062067555909</t>
  </si>
  <si>
    <r>
      <t xml:space="preserve">UPC Codes updating: OLD UPC =062067555909,  </t>
    </r>
    <r>
      <rPr>
        <b/>
        <sz val="11"/>
        <color theme="1"/>
        <rFont val="Calibri"/>
        <family val="2"/>
        <scheme val="minor"/>
      </rPr>
      <t xml:space="preserve">NEW UPC = 062067555350 </t>
    </r>
  </si>
  <si>
    <t>MUSKOKA TRUFFLE</t>
  </si>
  <si>
    <t>609040 Sapporo Gift Pack 2</t>
  </si>
  <si>
    <t xml:space="preserve">628669081132 </t>
  </si>
  <si>
    <t xml:space="preserve">056910605149 </t>
  </si>
  <si>
    <t xml:space="preserve">YELLOW TAIL COOL CRISP WHITE </t>
  </si>
  <si>
    <t xml:space="preserve">839743002169 </t>
  </si>
  <si>
    <t>Discontinued by supplier -Seasonal</t>
  </si>
  <si>
    <t xml:space="preserve">Granville Island Summer Ale </t>
  </si>
  <si>
    <t>Saulter Street Brewery Riverside Pilsner</t>
  </si>
  <si>
    <t>Faxe Red</t>
  </si>
  <si>
    <r>
      <t xml:space="preserve">Discontinued </t>
    </r>
    <r>
      <rPr>
        <b/>
        <sz val="11"/>
        <color theme="1"/>
        <rFont val="Calibri"/>
        <family val="2"/>
        <scheme val="minor"/>
      </rPr>
      <t>(to be replaced by 639559)</t>
    </r>
  </si>
  <si>
    <t xml:space="preserve">628110522016 </t>
  </si>
  <si>
    <t xml:space="preserve">779446202445 </t>
  </si>
  <si>
    <t>Central City RED RACER IPA</t>
  </si>
  <si>
    <t xml:space="preserve">891810001536 </t>
  </si>
  <si>
    <t xml:space="preserve">5741000115114 </t>
  </si>
  <si>
    <t xml:space="preserve">Grimbergen Double-Ambree </t>
  </si>
  <si>
    <t>Magners Pear Cider</t>
  </si>
  <si>
    <t>Hop City Commuter IPA</t>
  </si>
  <si>
    <t>Sir Perry Pear Cider</t>
  </si>
  <si>
    <t>Somersby Semi Dry</t>
  </si>
  <si>
    <t>Caple Rd Cider</t>
  </si>
  <si>
    <t>Brooklyn Lager</t>
  </si>
  <si>
    <t xml:space="preserve">5014201901436 </t>
  </si>
  <si>
    <t xml:space="preserve">5707643200044 </t>
  </si>
  <si>
    <t xml:space="preserve">3080216034645 </t>
  </si>
  <si>
    <t xml:space="preserve">087600101696 </t>
  </si>
  <si>
    <t xml:space="preserve">761599715705 </t>
  </si>
  <si>
    <t xml:space="preserve">776029703627 </t>
  </si>
  <si>
    <t xml:space="preserve">5391516873499 </t>
  </si>
  <si>
    <t>Abe Erb Brewing Alterior Motive Altbier 355 B</t>
  </si>
  <si>
    <t>Abe Erb Brewing Men In Night Stout 355 B</t>
  </si>
  <si>
    <t>Abe Erb Brewing Alterior Motive Altbier 473 C</t>
  </si>
  <si>
    <t>HENNIGER PREMIUM LAGER</t>
  </si>
  <si>
    <t xml:space="preserve">042572054012 </t>
  </si>
  <si>
    <t xml:space="preserve">882842000222 </t>
  </si>
  <si>
    <t xml:space="preserve">882842000246 </t>
  </si>
  <si>
    <t xml:space="preserve">882842000024 </t>
  </si>
  <si>
    <r>
      <t xml:space="preserve">Supplying source changing from Producer 0596-ABE ERB/1907142 ONT INC; </t>
    </r>
    <r>
      <rPr>
        <b/>
        <sz val="11"/>
        <color theme="1"/>
        <rFont val="Calibri"/>
        <family val="2"/>
        <scheme val="minor"/>
      </rPr>
      <t>to TBS – 0002</t>
    </r>
  </si>
  <si>
    <t xml:space="preserve">Side Launch Dry Hopped Sour </t>
  </si>
  <si>
    <t xml:space="preserve">Side Launch Dark Lager </t>
  </si>
  <si>
    <t xml:space="preserve">Side Launch Wheat </t>
  </si>
  <si>
    <t xml:space="preserve">834873000016 </t>
  </si>
  <si>
    <t xml:space="preserve">834873000023 </t>
  </si>
  <si>
    <t>476 mL</t>
  </si>
  <si>
    <r>
      <t xml:space="preserve">Discontinued; </t>
    </r>
    <r>
      <rPr>
        <b/>
        <sz val="11"/>
        <color theme="1"/>
        <rFont val="Calibri"/>
        <family val="2"/>
        <scheme val="minor"/>
      </rPr>
      <t>Replaced by Midnight Lager #10059</t>
    </r>
  </si>
  <si>
    <r>
      <t>Case pack = 12 units discontinued by supplier Feb 20 -</t>
    </r>
    <r>
      <rPr>
        <b/>
        <sz val="11"/>
        <color theme="1"/>
        <rFont val="Calibri"/>
        <family val="2"/>
        <scheme val="minor"/>
      </rPr>
      <t xml:space="preserve">change to case pack 24 LCBO Item #10075 SCC# 10834873000518.  No change to UPC. Effective March 4/19 </t>
    </r>
  </si>
  <si>
    <r>
      <t>Case pack = 12 units discontinued by supplier Feb 20 -</t>
    </r>
    <r>
      <rPr>
        <b/>
        <sz val="11"/>
        <color theme="1"/>
        <rFont val="Calibri"/>
        <family val="2"/>
        <scheme val="minor"/>
      </rPr>
      <t xml:space="preserve">change to case pack 24 LCBO Item #10076 SCC# 10834873000112.  No change to UPC. Effective March 4/19 </t>
    </r>
  </si>
  <si>
    <t>Collingwood Saison 3 point</t>
  </si>
  <si>
    <r>
      <t>Case pack = 12 units discontinued by supplier Feb 20 -</t>
    </r>
    <r>
      <rPr>
        <b/>
        <sz val="11"/>
        <color theme="1"/>
        <rFont val="Calibri"/>
        <family val="2"/>
        <scheme val="minor"/>
      </rPr>
      <t xml:space="preserve">change to case pack 24 LCBO Item #10111 SCC# 10666960000039.  No change to UPC. Effective March 4/19 </t>
    </r>
  </si>
  <si>
    <t xml:space="preserve">040232284793 </t>
  </si>
  <si>
    <t>Trafalgar Peach Mead</t>
  </si>
  <si>
    <t xml:space="preserve">Trafalgar Chai Mead </t>
  </si>
  <si>
    <t>Peninsula Ridge Semi-Dry Riesling VQA</t>
  </si>
  <si>
    <t xml:space="preserve">809381014008 </t>
  </si>
  <si>
    <t xml:space="preserve">GLUTENBERG BLONDE 4x473 </t>
  </si>
  <si>
    <t xml:space="preserve">832958000524 </t>
  </si>
  <si>
    <t xml:space="preserve">17 PINOT GRIS ESTATE BOTTLED (FIELDING)    </t>
  </si>
  <si>
    <t xml:space="preserve">876584002026 </t>
  </si>
  <si>
    <r>
      <t xml:space="preserve">Temporarily discontinued, as of Feb. 16th </t>
    </r>
    <r>
      <rPr>
        <b/>
        <sz val="11"/>
        <color theme="1"/>
        <rFont val="Calibri"/>
        <family val="2"/>
        <scheme val="minor"/>
      </rPr>
      <t>(To be available Mid-March)</t>
    </r>
  </si>
  <si>
    <t>Somersby Watermelon</t>
  </si>
  <si>
    <t xml:space="preserve">5740700986918 </t>
  </si>
  <si>
    <t>Discontinued - retail price falling below grocery floor price</t>
  </si>
  <si>
    <t>Montes Reserva Cabernet Sauvignon</t>
  </si>
  <si>
    <t xml:space="preserve">715126000017 </t>
  </si>
  <si>
    <t xml:space="preserve">7790240095890 </t>
  </si>
  <si>
    <t xml:space="preserve">TRAPICHE RESERVE MALBEC </t>
  </si>
  <si>
    <t>Brock Street Irish Red Ale</t>
  </si>
  <si>
    <t>628451660026</t>
  </si>
  <si>
    <r>
      <t xml:space="preserve">UPC Codes updating: OLD UPC =628451660026,  </t>
    </r>
    <r>
      <rPr>
        <b/>
        <sz val="11"/>
        <color theme="1"/>
        <rFont val="Calibri"/>
        <family val="2"/>
        <scheme val="minor"/>
      </rPr>
      <t>NEW UPC = 628451660200</t>
    </r>
  </si>
  <si>
    <t>5 Paddles Brewing -Home Sweet Home 650ml Bottle</t>
  </si>
  <si>
    <t xml:space="preserve">627843594604 </t>
  </si>
  <si>
    <t>Lake of Bays -Spin Dive</t>
  </si>
  <si>
    <t xml:space="preserve">Beaus -49 54 </t>
  </si>
  <si>
    <t xml:space="preserve">Beaus Kissmeyer Nordic Pale Ale </t>
  </si>
  <si>
    <t xml:space="preserve">Waterloo Festbier </t>
  </si>
  <si>
    <t>568 mL</t>
  </si>
  <si>
    <t>Discontinued by supplier -Changing to 473 mL (no change to UPC)</t>
  </si>
  <si>
    <t>Old Flame Brewing -Red 568 mL</t>
  </si>
  <si>
    <t>Old Flame Brewing -Dirty Blonde 568 mL</t>
  </si>
  <si>
    <t xml:space="preserve">687437998492 </t>
  </si>
  <si>
    <t xml:space="preserve">687437998539 </t>
  </si>
  <si>
    <t xml:space="preserve">812339000718 </t>
  </si>
  <si>
    <t xml:space="preserve">620707101826 </t>
  </si>
  <si>
    <t xml:space="preserve">091037551665 </t>
  </si>
  <si>
    <t xml:space="preserve">602573184066 </t>
  </si>
  <si>
    <t>Beaus Tom Green Cherry Milk Stout</t>
  </si>
  <si>
    <t xml:space="preserve">602573184189 </t>
  </si>
  <si>
    <t>Lake of Bays -Broken Axe</t>
  </si>
  <si>
    <t xml:space="preserve">812339000619 </t>
  </si>
  <si>
    <t xml:space="preserve">Bobcaygeon Brewing -Starry Night Chocolate Stout </t>
  </si>
  <si>
    <t xml:space="preserve">CHARLES TORT OLD VINES COTES DU RHONE AOC    </t>
  </si>
  <si>
    <t xml:space="preserve">3760222570015 </t>
  </si>
  <si>
    <t xml:space="preserve">627843695509 </t>
  </si>
  <si>
    <t>330 mL</t>
  </si>
  <si>
    <t>EXCHANGE BREWERY PEACH PIE</t>
  </si>
  <si>
    <t xml:space="preserve">628250784015 </t>
  </si>
  <si>
    <r>
      <rPr>
        <strike/>
        <sz val="11"/>
        <rFont val="Calibri"/>
        <family val="2"/>
        <scheme val="minor"/>
      </rPr>
      <t>Temporarily discontinued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Restocked; will remain on catalogue</t>
    </r>
  </si>
  <si>
    <r>
      <t xml:space="preserve">Temporarily discontinued -low stock; </t>
    </r>
    <r>
      <rPr>
        <b/>
        <sz val="11"/>
        <color theme="1"/>
        <rFont val="Calibri"/>
        <family val="2"/>
        <scheme val="minor"/>
      </rPr>
      <t>Available again April 9th</t>
    </r>
  </si>
  <si>
    <r>
      <t xml:space="preserve">SCC Code updating: OLD SCC =1071739041694;  </t>
    </r>
    <r>
      <rPr>
        <b/>
        <sz val="11"/>
        <color theme="1"/>
        <rFont val="Calibri"/>
        <family val="2"/>
        <scheme val="minor"/>
      </rPr>
      <t>NEW SCC = 10717390416997</t>
    </r>
  </si>
  <si>
    <t>717390416990</t>
  </si>
  <si>
    <t>Forked River Interstellar Ipa</t>
  </si>
  <si>
    <t xml:space="preserve">MASI MASIANCO PINOT GRIGIO &amp; VERDUZZO </t>
  </si>
  <si>
    <r>
      <t xml:space="preserve">SCC Code updating: OLD SCC = 08002062010159;  </t>
    </r>
    <r>
      <rPr>
        <b/>
        <sz val="11"/>
        <color theme="1"/>
        <rFont val="Calibri"/>
        <family val="2"/>
        <scheme val="minor"/>
      </rPr>
      <t xml:space="preserve">NEW SCC = 08002062010517  </t>
    </r>
    <r>
      <rPr>
        <sz val="11"/>
        <color theme="1"/>
        <rFont val="Calibri"/>
        <family val="2"/>
        <scheme val="minor"/>
      </rPr>
      <t>(no Change to UPC)</t>
    </r>
  </si>
  <si>
    <t xml:space="preserve">8002062001652 </t>
  </si>
  <si>
    <t>Lake of Bays -Oxtongue IPA</t>
  </si>
  <si>
    <t xml:space="preserve">627005034863 </t>
  </si>
  <si>
    <t>CHARDONNAY PAUL BOSC (CH DES CHARMES)</t>
  </si>
  <si>
    <t>Discontinued by supplier; Replaced by #142364 Side Launch Northbound Lager</t>
  </si>
  <si>
    <t>SIDE LAUNCH MOUNTAIN LAGER</t>
  </si>
  <si>
    <t xml:space="preserve">834873000054 </t>
  </si>
  <si>
    <t>Royal City Brewing Remembrance Red Ale</t>
  </si>
  <si>
    <t xml:space="preserve">776409872684 </t>
  </si>
  <si>
    <t xml:space="preserve">812339000602 </t>
  </si>
  <si>
    <t>Creemore Collection Mixed 6-Pack Spring 2017 Cans</t>
  </si>
  <si>
    <t xml:space="preserve">741498314605 </t>
  </si>
  <si>
    <t xml:space="preserve">PELEE ISLAND TIME SEMI-SWEET CABERNET VQA </t>
  </si>
  <si>
    <t xml:space="preserve">777081726708 </t>
  </si>
  <si>
    <t xml:space="preserve">OPEN CHARDONNAY VQA </t>
  </si>
  <si>
    <t xml:space="preserve">063657029411 </t>
  </si>
  <si>
    <t xml:space="preserve">MASI MODELLO PINOT GRIGIO DELLE VENEZIE DOC </t>
  </si>
  <si>
    <t xml:space="preserve">8002062008132 </t>
  </si>
  <si>
    <t>SCC Code updating: OLD SCC = 08002062010135;  NEW SCC = 08002062010494  (no Change to UPC)</t>
  </si>
  <si>
    <t xml:space="preserve">MASI MODELLO MERLOT TREVENEZIE IGT </t>
  </si>
  <si>
    <t xml:space="preserve">8002062012825 </t>
  </si>
  <si>
    <t>SCC Code updating: OLD SCC = 08002062010210;  NEW SCC = 08002062010678  (no Change to UPC)</t>
  </si>
  <si>
    <t>PELJESAC RED, CROATIA.</t>
  </si>
  <si>
    <t xml:space="preserve">3859888108219 </t>
  </si>
  <si>
    <t>SCC Code updating: OLD SCC = 3850112169549 ;  NEW SCC = 03850112169549  (no Change to UPC)</t>
  </si>
  <si>
    <t xml:space="preserve">ALAMOS CABERNET SAUVIGNON </t>
  </si>
  <si>
    <t xml:space="preserve">7794450008060 </t>
  </si>
  <si>
    <t>SCC Code updating: OLD SCC = 30707319195021;  NEW SCC = 30085000018171  (no Change to UPC)</t>
  </si>
  <si>
    <t xml:space="preserve">ALAMOS MALBEC </t>
  </si>
  <si>
    <t xml:space="preserve">7794450008084 </t>
  </si>
  <si>
    <t>SCC Code updating: OLD SCC = 30707319195038 ;  NEW SCC = 30085000018195  (no Change to UPC)</t>
  </si>
  <si>
    <t>HOP CITY CHEAT DAY BLACK FOREST PORTER</t>
  </si>
  <si>
    <t>Muskoka Winter Survival</t>
  </si>
  <si>
    <t xml:space="preserve">628669090202 </t>
  </si>
  <si>
    <t xml:space="preserve">776029703832 </t>
  </si>
  <si>
    <t xml:space="preserve">Beau's Lambs Wool Gruit </t>
  </si>
  <si>
    <t xml:space="preserve">602573249505 </t>
  </si>
  <si>
    <t>Muskoka Raspberry Thunder Milkshake</t>
  </si>
  <si>
    <t>LAKE OF BAYS BREWING GREAT OUTDOORS TASTER</t>
  </si>
  <si>
    <t xml:space="preserve">812339000534 </t>
  </si>
  <si>
    <t xml:space="preserve">628669090967 </t>
  </si>
  <si>
    <t>RIESLING SPARKLING LIMESTONE RIDGE (TAWSE)</t>
  </si>
  <si>
    <t>670459009451</t>
  </si>
  <si>
    <r>
      <t xml:space="preserve">UPC &amp; SCC Codes updating: OLD UPC: 670459009451  </t>
    </r>
    <r>
      <rPr>
        <b/>
        <sz val="11"/>
        <color theme="1"/>
        <rFont val="Calibri"/>
        <family val="2"/>
        <scheme val="minor"/>
      </rPr>
      <t>NEW UPC = 670459010334</t>
    </r>
    <r>
      <rPr>
        <sz val="11"/>
        <color theme="1"/>
        <rFont val="Calibri"/>
        <family val="2"/>
        <scheme val="minor"/>
      </rPr>
      <t xml:space="preserve"> OLD SCC = 10670459009458;  </t>
    </r>
    <r>
      <rPr>
        <b/>
        <sz val="11"/>
        <color theme="1"/>
        <rFont val="Calibri"/>
        <family val="2"/>
        <scheme val="minor"/>
      </rPr>
      <t xml:space="preserve">NEW SCC = 10670459010331 </t>
    </r>
  </si>
  <si>
    <t xml:space="preserve">GIRLS' NIGHT OUT PINOT GRIGIO-RIESLING VQA    </t>
  </si>
  <si>
    <t xml:space="preserve">779373541044 </t>
  </si>
  <si>
    <t>Carlsberg Beer</t>
  </si>
  <si>
    <t xml:space="preserve">5740600020637 </t>
  </si>
  <si>
    <t>Temporarily  discontinued - Supply issues (estimated back in stock early May)</t>
  </si>
  <si>
    <t>Temporarily  discontinued - Supply issues (estimated back in stock end of April)</t>
  </si>
  <si>
    <t xml:space="preserve">D'ONT POKE THE BEAR RED VQA </t>
  </si>
  <si>
    <t>627843062608</t>
  </si>
  <si>
    <t>Cassel Brewery Golden Rail</t>
  </si>
  <si>
    <t>Cassel Brewery Cranberry Saison</t>
  </si>
  <si>
    <t xml:space="preserve">628110917010 </t>
  </si>
  <si>
    <t xml:space="preserve">628110917201 </t>
  </si>
  <si>
    <t>Tawse Sketches Chardonnay #89037</t>
  </si>
  <si>
    <t xml:space="preserve">670459008669 </t>
  </si>
  <si>
    <r>
      <t xml:space="preserve">UPC &amp; SCC Codes updating: OLD UPC:670459008669    </t>
    </r>
    <r>
      <rPr>
        <b/>
        <sz val="11"/>
        <color theme="1"/>
        <rFont val="Calibri"/>
        <family val="2"/>
        <scheme val="minor"/>
      </rPr>
      <t>NEW UPC = 670459009789</t>
    </r>
    <r>
      <rPr>
        <sz val="11"/>
        <color theme="1"/>
        <rFont val="Calibri"/>
        <family val="2"/>
        <scheme val="minor"/>
      </rPr>
      <t xml:space="preserve"> OLD SCC =10670459008666 ;  </t>
    </r>
    <r>
      <rPr>
        <b/>
        <sz val="11"/>
        <color theme="1"/>
        <rFont val="Calibri"/>
        <family val="2"/>
        <scheme val="minor"/>
      </rPr>
      <t>NEW SCC = 10670459009786</t>
    </r>
  </si>
  <si>
    <t xml:space="preserve">Muskoka Shinnicked Stout </t>
  </si>
  <si>
    <t xml:space="preserve">Collective Arts Raspberry Dry Hop Sour </t>
  </si>
  <si>
    <t xml:space="preserve">626824160029 </t>
  </si>
  <si>
    <t>Amsterdam 3-Speed Lager</t>
  </si>
  <si>
    <t xml:space="preserve">186360050326 </t>
  </si>
  <si>
    <t xml:space="preserve">628669012020 </t>
  </si>
  <si>
    <t xml:space="preserve">Laker Light </t>
  </si>
  <si>
    <t xml:space="preserve">620707351009 </t>
  </si>
  <si>
    <t>Shillow Beer Bitter Waitress Black IPA</t>
  </si>
  <si>
    <t>Discontinued by supplier -Seasonal- (estimated return in Autumn)</t>
  </si>
  <si>
    <t xml:space="preserve">627843535508 </t>
  </si>
  <si>
    <t>Beaus Strong Patrick</t>
  </si>
  <si>
    <t xml:space="preserve">Magnotta True North Copper Ale </t>
  </si>
  <si>
    <t xml:space="preserve">727530561503 </t>
  </si>
  <si>
    <t xml:space="preserve">091037462121 </t>
  </si>
  <si>
    <t>Haliburton Highlands Skipping Stone Kolsch</t>
  </si>
  <si>
    <t xml:space="preserve">628055555254 </t>
  </si>
  <si>
    <t>Muskoka Ebb &amp; Flow (4x355ml)</t>
  </si>
  <si>
    <t xml:space="preserve">628669091025 </t>
  </si>
  <si>
    <t xml:space="preserve">Bootleg Whisky Cider </t>
  </si>
  <si>
    <t xml:space="preserve">779315380007 </t>
  </si>
  <si>
    <t>779315378189</t>
  </si>
  <si>
    <r>
      <t xml:space="preserve">SCC Code updating: OLD SCC = 10779315800007;  </t>
    </r>
    <r>
      <rPr>
        <b/>
        <sz val="11"/>
        <color theme="1"/>
        <rFont val="Calibri"/>
        <family val="2"/>
        <scheme val="minor"/>
      </rPr>
      <t>NEW SCC = 10773153300002</t>
    </r>
    <r>
      <rPr>
        <sz val="11"/>
        <color theme="1"/>
        <rFont val="Calibri"/>
        <family val="2"/>
        <scheme val="minor"/>
      </rPr>
      <t xml:space="preserve">   (no Change to UPC)</t>
    </r>
  </si>
  <si>
    <r>
      <t xml:space="preserve">SCC Code updating: OLD SCC = 879315378186;  </t>
    </r>
    <r>
      <rPr>
        <b/>
        <sz val="11"/>
        <color theme="1"/>
        <rFont val="Calibri"/>
        <family val="2"/>
        <scheme val="minor"/>
      </rPr>
      <t>NEW SCC = 10773153400009</t>
    </r>
    <r>
      <rPr>
        <sz val="11"/>
        <color theme="1"/>
        <rFont val="Calibri"/>
        <family val="2"/>
        <scheme val="minor"/>
      </rPr>
      <t xml:space="preserve">  (no Change to UPC)</t>
    </r>
  </si>
  <si>
    <t>Bad Henry Shiraz</t>
  </si>
  <si>
    <t>Santa Julia Reserve Cabernet Sauvignon</t>
  </si>
  <si>
    <t>Mallee Rock Pinot Grigio</t>
  </si>
  <si>
    <t xml:space="preserve">654910001055 </t>
  </si>
  <si>
    <t xml:space="preserve">7791728000535 </t>
  </si>
  <si>
    <t xml:space="preserve">Goose Island Honkers Ale </t>
  </si>
  <si>
    <t xml:space="preserve">062067412356 </t>
  </si>
  <si>
    <t xml:space="preserve">Junction Black Lager </t>
  </si>
  <si>
    <t>Discontinued -Seasonal</t>
  </si>
  <si>
    <t>Triple bogey Hurry Hard</t>
  </si>
  <si>
    <r>
      <t xml:space="preserve">Supplying source changing from Producer 2211-SAULTER STREET BREWERY; </t>
    </r>
    <r>
      <rPr>
        <b/>
        <sz val="11"/>
        <color theme="1"/>
        <rFont val="Calibri"/>
        <family val="2"/>
        <scheme val="minor"/>
      </rPr>
      <t>to LCBO – 0001</t>
    </r>
  </si>
  <si>
    <t xml:space="preserve">627843494386 </t>
  </si>
  <si>
    <t>8002062001744</t>
  </si>
  <si>
    <r>
      <t xml:space="preserve">SCC Code updating: OLD SCC = 08002062010272;  </t>
    </r>
    <r>
      <rPr>
        <b/>
        <sz val="11"/>
        <color theme="1"/>
        <rFont val="Calibri"/>
        <family val="2"/>
        <scheme val="minor"/>
      </rPr>
      <t>NEW SCC = 08002062010647</t>
    </r>
    <r>
      <rPr>
        <sz val="11"/>
        <color theme="1"/>
        <rFont val="Calibri"/>
        <family val="2"/>
        <scheme val="minor"/>
      </rPr>
      <t xml:space="preserve">  (no Change to UPC)</t>
    </r>
  </si>
  <si>
    <t>Engineers IPA</t>
  </si>
  <si>
    <t>Beaus Farm Table Altbier</t>
  </si>
  <si>
    <t xml:space="preserve">BACCOLO ROSSO VENETO IGT </t>
  </si>
  <si>
    <t>8008900006827</t>
  </si>
  <si>
    <t>Barefoot Chardonnay</t>
  </si>
  <si>
    <t>Barefoot Cabernet Sauvignon</t>
  </si>
  <si>
    <t xml:space="preserve">018341751055 </t>
  </si>
  <si>
    <t xml:space="preserve">018341751017 </t>
  </si>
  <si>
    <t>Kensington Fruitstand Watermelon Wheat</t>
  </si>
  <si>
    <t xml:space="preserve">RODNEY STRONG CHARLOTTE'S HOME SAUVIGNON BLANC   </t>
  </si>
  <si>
    <t xml:space="preserve">087512943056 </t>
  </si>
  <si>
    <t xml:space="preserve">PIERRE SPARR GEWURZTRAMINER </t>
  </si>
  <si>
    <t xml:space="preserve">3263530020802 </t>
  </si>
  <si>
    <t xml:space="preserve">BOSCHENDAL 1685 CHARDONNAY </t>
  </si>
  <si>
    <t xml:space="preserve">6001660003824 </t>
  </si>
  <si>
    <t xml:space="preserve">602573395301 </t>
  </si>
  <si>
    <t>Pommies Cranberry Cider</t>
  </si>
  <si>
    <t xml:space="preserve">627843434962 </t>
  </si>
  <si>
    <t>Ernest Cider Winter's Blush</t>
  </si>
  <si>
    <t xml:space="preserve">628451939221 </t>
  </si>
  <si>
    <t>645408</t>
  </si>
  <si>
    <t xml:space="preserve">727530562654 </t>
  </si>
  <si>
    <r>
      <t xml:space="preserve">Supplying source changing from LCBO - 0001; to </t>
    </r>
    <r>
      <rPr>
        <b/>
        <sz val="11"/>
        <color theme="1"/>
        <rFont val="Calibri"/>
        <family val="2"/>
        <scheme val="minor"/>
      </rPr>
      <t xml:space="preserve">Producer 0270 - MAGNOTTA BREWERY (VAUGHAN) LTD </t>
    </r>
  </si>
  <si>
    <t xml:space="preserve">CLOS DU BOIS CHARDONNAY </t>
  </si>
  <si>
    <t xml:space="preserve">087356510124 </t>
  </si>
  <si>
    <t xml:space="preserve">085000016848 </t>
  </si>
  <si>
    <t xml:space="preserve">BEAR FLAG SMOOTH RED BLEND </t>
  </si>
  <si>
    <t xml:space="preserve">RIGAMAROLE RED BLEND VQA </t>
  </si>
  <si>
    <t xml:space="preserve">776545996015 </t>
  </si>
  <si>
    <t xml:space="preserve">776545996022 </t>
  </si>
  <si>
    <t xml:space="preserve">MAGNOTTA SMALL BATCH CIDER APPLE    </t>
  </si>
  <si>
    <t xml:space="preserve">RIGAMAROLE WHITE BLEND VQA  </t>
  </si>
  <si>
    <t xml:space="preserve">8002062013303 </t>
  </si>
  <si>
    <r>
      <t xml:space="preserve">SCC Code updating: OLD SCC = 08002062010234;  </t>
    </r>
    <r>
      <rPr>
        <b/>
        <sz val="11"/>
        <color theme="1"/>
        <rFont val="Calibri"/>
        <family val="2"/>
        <scheme val="minor"/>
      </rPr>
      <t>NEW SCC = 08002062010692</t>
    </r>
    <r>
      <rPr>
        <sz val="11"/>
        <color theme="1"/>
        <rFont val="Calibri"/>
        <family val="2"/>
        <scheme val="minor"/>
      </rPr>
      <t xml:space="preserve"> (no Change to UPC)</t>
    </r>
  </si>
  <si>
    <t>FONTELLA CHIANTI DOCG</t>
  </si>
  <si>
    <t xml:space="preserve">8003545000421 </t>
  </si>
  <si>
    <t xml:space="preserve">PICCINI CHIANTI ORANGE DOCG </t>
  </si>
  <si>
    <t xml:space="preserve">8002793000504 </t>
  </si>
  <si>
    <t xml:space="preserve">PICCINI BRUNELLO DI MONTALCINO </t>
  </si>
  <si>
    <t xml:space="preserve">8002793001372 </t>
  </si>
  <si>
    <t>KLB RASPBERRY WHEAT ALE</t>
  </si>
  <si>
    <t xml:space="preserve">626824900069 </t>
  </si>
  <si>
    <r>
      <t xml:space="preserve">Supplying source changing from AMSTERDAM BREWING COMPANY - 3842; to </t>
    </r>
    <r>
      <rPr>
        <b/>
        <sz val="11"/>
        <color theme="1"/>
        <rFont val="Calibri"/>
        <family val="2"/>
        <scheme val="minor"/>
      </rPr>
      <t>Producer 2183-THE PUBLICAN'S HOUSE LIMITED</t>
    </r>
  </si>
  <si>
    <t xml:space="preserve">CARPINETO DOGAJOLO ROSSO TOSCANO IGT </t>
  </si>
  <si>
    <t xml:space="preserve">8003015700530 </t>
  </si>
  <si>
    <t xml:space="preserve">UMBERTO CESARI IOVE ROSSO IGT </t>
  </si>
  <si>
    <t xml:space="preserve">818276001191 </t>
  </si>
  <si>
    <t xml:space="preserve">Beau's Tikkatee Gruit </t>
  </si>
  <si>
    <t xml:space="preserve">MARIUS ROUGE PAYS D'OC </t>
  </si>
  <si>
    <r>
      <t xml:space="preserve">UPC &amp; SCC Code updating: OLD UPC = 3391180003255; </t>
    </r>
    <r>
      <rPr>
        <b/>
        <sz val="11"/>
        <color theme="1"/>
        <rFont val="Calibri"/>
        <family val="2"/>
        <scheme val="minor"/>
      </rPr>
      <t>NEW UPC = 3391180007079</t>
    </r>
    <r>
      <rPr>
        <sz val="11"/>
        <color theme="1"/>
        <rFont val="Calibri"/>
        <family val="2"/>
        <scheme val="minor"/>
      </rPr>
      <t xml:space="preserve"> | OLD SCC = 03391180003279;  </t>
    </r>
    <r>
      <rPr>
        <b/>
        <sz val="11"/>
        <color theme="1"/>
        <rFont val="Calibri"/>
        <family val="2"/>
        <scheme val="minor"/>
      </rPr>
      <t>NEW SCC = 03391180007093</t>
    </r>
  </si>
  <si>
    <t xml:space="preserve">Cassel L'il Red </t>
  </si>
  <si>
    <t xml:space="preserve">628110917157 </t>
  </si>
  <si>
    <t xml:space="preserve">602573395325 </t>
  </si>
  <si>
    <t>Lake of Bays Sunseeker Tangerine Pale Ale</t>
  </si>
  <si>
    <t>DOS EQUIS LAGER+</t>
  </si>
  <si>
    <t>Beau's B-Side Tagwerk</t>
  </si>
  <si>
    <t>Beau's Paper Chase Ale.</t>
  </si>
  <si>
    <t>Beau's Radler</t>
  </si>
  <si>
    <t>Beau's Farm Table Helles</t>
  </si>
  <si>
    <t>Beaus Summer Mix 2019</t>
  </si>
  <si>
    <t>Lugtread Lagered Ale 4 Pk-B.</t>
  </si>
  <si>
    <t>Beau's Lug Tread Can+</t>
  </si>
  <si>
    <t>Beau's Full Time Ipa</t>
  </si>
  <si>
    <t>Beaus Lug Tread 6x473</t>
  </si>
  <si>
    <t>Beau's Good Time Session Ipa</t>
  </si>
  <si>
    <r>
      <t xml:space="preserve">Supplying source changing from Producer: 9654 - BEAUS ALL NATURAL BREWING; to </t>
    </r>
    <r>
      <rPr>
        <b/>
        <sz val="11"/>
        <color theme="1"/>
        <rFont val="Calibri"/>
        <family val="2"/>
        <scheme val="minor"/>
      </rPr>
      <t>0002 - TBS</t>
    </r>
  </si>
  <si>
    <t xml:space="preserve">CODORNIU BRUT CLASICO SPARKLING </t>
  </si>
  <si>
    <t xml:space="preserve">8410013381010 </t>
  </si>
  <si>
    <t xml:space="preserve">BODACIOUS MOSCATO </t>
  </si>
  <si>
    <t>063657038024</t>
  </si>
  <si>
    <r>
      <t xml:space="preserve">UPC Code updating: OLD UPC = 063657038024;  </t>
    </r>
    <r>
      <rPr>
        <b/>
        <sz val="11"/>
        <color theme="1"/>
        <rFont val="Calibri"/>
        <family val="2"/>
        <scheme val="minor"/>
      </rPr>
      <t>NEW UPC = 063657039502</t>
    </r>
    <r>
      <rPr>
        <sz val="11"/>
        <color theme="1"/>
        <rFont val="Calibri"/>
        <family val="2"/>
        <scheme val="minor"/>
      </rPr>
      <t xml:space="preserve"> (no Change to SCC)</t>
    </r>
  </si>
  <si>
    <t xml:space="preserve">EASTDELL BLACK CAB VQA </t>
  </si>
  <si>
    <r>
      <t xml:space="preserve">UPC &amp; SCC Code updating: OLD UPC = 874537085140; </t>
    </r>
    <r>
      <rPr>
        <b/>
        <sz val="11"/>
        <color theme="1"/>
        <rFont val="Calibri"/>
        <family val="2"/>
        <scheme val="minor"/>
      </rPr>
      <t>NEW UPC = 874537000648</t>
    </r>
    <r>
      <rPr>
        <sz val="11"/>
        <color theme="1"/>
        <rFont val="Calibri"/>
        <family val="2"/>
        <scheme val="minor"/>
      </rPr>
      <t xml:space="preserve"> | OLD SCC = 10874537085147;  </t>
    </r>
    <r>
      <rPr>
        <b/>
        <sz val="11"/>
        <color theme="1"/>
        <rFont val="Calibri"/>
        <family val="2"/>
        <scheme val="minor"/>
      </rPr>
      <t>NEW SCC =10874537000645</t>
    </r>
  </si>
  <si>
    <t xml:space="preserve">EASTDELL ROSE VQA </t>
  </si>
  <si>
    <r>
      <t xml:space="preserve">UPC &amp; SCC Code updating: OLD UPC = '874537095149; </t>
    </r>
    <r>
      <rPr>
        <b/>
        <sz val="11"/>
        <color theme="1"/>
        <rFont val="Calibri"/>
        <family val="2"/>
        <scheme val="minor"/>
      </rPr>
      <t>NEW UPC = 874537000716</t>
    </r>
    <r>
      <rPr>
        <sz val="11"/>
        <color theme="1"/>
        <rFont val="Calibri"/>
        <family val="2"/>
        <scheme val="minor"/>
      </rPr>
      <t xml:space="preserve"> | OLD SCC = 1087457095146;  </t>
    </r>
    <r>
      <rPr>
        <b/>
        <sz val="11"/>
        <color theme="1"/>
        <rFont val="Calibri"/>
        <family val="2"/>
        <scheme val="minor"/>
      </rPr>
      <t>NEW SCC = 10874537000713</t>
    </r>
  </si>
  <si>
    <t xml:space="preserve">MISSION HILL SAUVIGNON BLANC VQA FIVE VINEYDS </t>
  </si>
  <si>
    <t xml:space="preserve">776545995278 </t>
  </si>
  <si>
    <t>Collective Arts State Of Mind Session Ipa 473ml</t>
  </si>
  <si>
    <t>Bayside Brewing Co. Orchard Cherry Lager</t>
  </si>
  <si>
    <t>temporarily discontinued</t>
  </si>
  <si>
    <t>Collective Arts Ipa #9</t>
  </si>
  <si>
    <t>Discontinued - Seasonal</t>
  </si>
  <si>
    <t>Collective Arts Tepache Berliner Weisse</t>
  </si>
  <si>
    <t>Barnstormer Flight Delay Ipa</t>
  </si>
  <si>
    <t>Barnstormer Wind Shear Watermelon</t>
  </si>
  <si>
    <t>Barnstormer 400 Blonde Ale</t>
  </si>
  <si>
    <t>Barnstormer Billy Bishop Brown Ale</t>
  </si>
  <si>
    <t>Barnstormer Yyz First Class Lager +</t>
  </si>
  <si>
    <t>Temporarily discontinued</t>
  </si>
  <si>
    <t>Highlander Rye Road Pale Ale</t>
  </si>
  <si>
    <t>Northern Beer Alliance Mixed Pack</t>
  </si>
  <si>
    <r>
      <t xml:space="preserve">Supplying source changing from 002 - TBS to </t>
    </r>
    <r>
      <rPr>
        <b/>
        <sz val="11"/>
        <color theme="1"/>
        <rFont val="Calibri"/>
        <family val="2"/>
        <scheme val="minor"/>
      </rPr>
      <t>4275 - OLD TOMORROW LTD.</t>
    </r>
  </si>
  <si>
    <r>
      <t xml:space="preserve">Supplying source changing from 8986 - HIGHLANDER BREW CO. to </t>
    </r>
    <r>
      <rPr>
        <b/>
        <sz val="11"/>
        <color theme="1"/>
        <rFont val="Calibri"/>
        <family val="2"/>
        <scheme val="minor"/>
      </rPr>
      <t>4275 - OLD TOMORROW LTD.</t>
    </r>
  </si>
  <si>
    <t>Broadhead Dark Horse Stout</t>
  </si>
  <si>
    <t>Product Name Changing - New Name: Broadhead Night Shift Stout</t>
  </si>
  <si>
    <t>Muskoka Detour 6pk Btl</t>
  </si>
  <si>
    <t>Refined Fool Brewing The Brouhaha Nut Brown</t>
  </si>
  <si>
    <t>Illiterate Librarians</t>
  </si>
  <si>
    <t>Refined Fool Suburban Menace Amber Ale</t>
  </si>
  <si>
    <t>Cruiser All Day Pale Ale</t>
  </si>
  <si>
    <t>Brewdog Punk Ipa</t>
  </si>
  <si>
    <r>
      <t xml:space="preserve">LCBO# 414946: 500mL discontinued. </t>
    </r>
    <r>
      <rPr>
        <b/>
        <sz val="11"/>
        <color theme="1"/>
        <rFont val="Calibri"/>
        <family val="2"/>
        <scheme val="minor"/>
      </rPr>
      <t>Replacement : LCBO# 11776 473mL</t>
    </r>
    <r>
      <rPr>
        <sz val="11"/>
        <color theme="1"/>
        <rFont val="Calibri"/>
        <family val="2"/>
        <scheme val="minor"/>
      </rPr>
      <t xml:space="preserve"> to be available soon</t>
    </r>
  </si>
  <si>
    <t>Ernest Cider Rubee</t>
  </si>
  <si>
    <t>Helderberg Cabernet Sauvignon</t>
  </si>
  <si>
    <t>Santa Julia Magna Malbec Cabernet</t>
  </si>
  <si>
    <t>Santa Julia Malbec del Mercado</t>
  </si>
  <si>
    <t>Amsterdam Pale Rider+</t>
  </si>
  <si>
    <t>626824170028</t>
  </si>
  <si>
    <t>Sleeman Session Ale</t>
  </si>
  <si>
    <t xml:space="preserve">MASI BONACOSTA VALPOLICELLA CLASSICO DOC </t>
  </si>
  <si>
    <t>8002062000037</t>
  </si>
  <si>
    <r>
      <t xml:space="preserve">SCC Code updating: OLD SCC = 08002062010388;  </t>
    </r>
    <r>
      <rPr>
        <b/>
        <sz val="11"/>
        <color theme="1"/>
        <rFont val="Calibri"/>
        <family val="2"/>
        <scheme val="minor"/>
      </rPr>
      <t>NEW SCC = 08002062010555</t>
    </r>
    <r>
      <rPr>
        <sz val="11"/>
        <color theme="1"/>
        <rFont val="Calibri"/>
        <family val="2"/>
        <scheme val="minor"/>
      </rPr>
      <t xml:space="preserve"> (no Change to UPC)</t>
    </r>
  </si>
  <si>
    <t xml:space="preserve">MASI CAMPOFIORIN IGT </t>
  </si>
  <si>
    <r>
      <t xml:space="preserve">SCC Code updating: OLD SCC = 08002062010296;  </t>
    </r>
    <r>
      <rPr>
        <b/>
        <sz val="11"/>
        <color theme="1"/>
        <rFont val="Calibri"/>
        <family val="2"/>
        <scheme val="minor"/>
      </rPr>
      <t>NEW SCC = 08002062010661</t>
    </r>
    <r>
      <rPr>
        <sz val="11"/>
        <color theme="1"/>
        <rFont val="Calibri"/>
        <family val="2"/>
        <scheme val="minor"/>
      </rPr>
      <t xml:space="preserve"> (no Change to UPC)</t>
    </r>
  </si>
  <si>
    <t>Bear Flag Soft White Blend</t>
  </si>
  <si>
    <t>Masi Campofiorin</t>
  </si>
  <si>
    <r>
      <t xml:space="preserve">SCC Code updating: OLD SCC = 08002062010395;  </t>
    </r>
    <r>
      <rPr>
        <b/>
        <sz val="11"/>
        <color theme="1"/>
        <rFont val="Calibri"/>
        <family val="2"/>
        <scheme val="minor"/>
      </rPr>
      <t>NEW SCC = 08002062010708</t>
    </r>
    <r>
      <rPr>
        <sz val="11"/>
        <color theme="1"/>
        <rFont val="Calibri"/>
        <family val="2"/>
        <scheme val="minor"/>
      </rPr>
      <t xml:space="preserve"> (no Change to UPC)</t>
    </r>
  </si>
  <si>
    <t xml:space="preserve">EastDell Black Cab VQA </t>
  </si>
  <si>
    <r>
      <t xml:space="preserve">UPC &amp; SCC Code updating: OLD UPC = 874537086147; </t>
    </r>
    <r>
      <rPr>
        <b/>
        <sz val="11"/>
        <color theme="1"/>
        <rFont val="Calibri"/>
        <family val="2"/>
        <scheme val="minor"/>
      </rPr>
      <t>NEW UPC = 874537000655</t>
    </r>
    <r>
      <rPr>
        <sz val="11"/>
        <color theme="1"/>
        <rFont val="Calibri"/>
        <family val="2"/>
        <scheme val="minor"/>
      </rPr>
      <t xml:space="preserve"> | OLD SCC = 10874537086144;  </t>
    </r>
    <r>
      <rPr>
        <b/>
        <sz val="11"/>
        <color theme="1"/>
        <rFont val="Calibri"/>
        <family val="2"/>
        <scheme val="minor"/>
      </rPr>
      <t>NEW SCC = 10874537000652</t>
    </r>
  </si>
  <si>
    <r>
      <t xml:space="preserve">UPC &amp; SCC Code updating: OLD UPC = 670459006160; </t>
    </r>
    <r>
      <rPr>
        <b/>
        <sz val="11"/>
        <color theme="1"/>
        <rFont val="Calibri"/>
        <family val="2"/>
        <scheme val="minor"/>
      </rPr>
      <t>NEW UPC = 670459010228</t>
    </r>
    <r>
      <rPr>
        <sz val="11"/>
        <color theme="1"/>
        <rFont val="Calibri"/>
        <family val="2"/>
        <scheme val="minor"/>
      </rPr>
      <t xml:space="preserve"> | OLD SCC = 10670459006167;  </t>
    </r>
    <r>
      <rPr>
        <b/>
        <sz val="11"/>
        <color theme="1"/>
        <rFont val="Calibri"/>
        <family val="2"/>
        <scheme val="minor"/>
      </rPr>
      <t>NEW SCC = 10670459010225</t>
    </r>
  </si>
  <si>
    <t>Tawse Grower's Blend Pinot Noir VQA</t>
  </si>
  <si>
    <t xml:space="preserve">Menage a Trois Midnight Dark Red Blend </t>
  </si>
  <si>
    <t>EastDell Gamay Noir VQA</t>
  </si>
  <si>
    <t>EastDell Pinot Grigio VQA</t>
  </si>
  <si>
    <t>EastDell Summer Rose VQA</t>
  </si>
  <si>
    <r>
      <t xml:space="preserve">UPC &amp; SCC Code updating: OLD UPC = 874537084143; </t>
    </r>
    <r>
      <rPr>
        <b/>
        <sz val="11"/>
        <color theme="1"/>
        <rFont val="Calibri"/>
        <family val="2"/>
        <scheme val="minor"/>
      </rPr>
      <t>NEW UPC = 874537000631</t>
    </r>
    <r>
      <rPr>
        <sz val="11"/>
        <color theme="1"/>
        <rFont val="Calibri"/>
        <family val="2"/>
        <scheme val="minor"/>
      </rPr>
      <t xml:space="preserve"> | OLD SCC = 10874537084140;  </t>
    </r>
    <r>
      <rPr>
        <b/>
        <sz val="11"/>
        <color theme="1"/>
        <rFont val="Calibri"/>
        <family val="2"/>
        <scheme val="minor"/>
      </rPr>
      <t>NEW SCC = 10874537000638</t>
    </r>
  </si>
  <si>
    <r>
      <t xml:space="preserve">UPC &amp; SCC Code updating: OLD UPC = 874537094142; </t>
    </r>
    <r>
      <rPr>
        <b/>
        <sz val="11"/>
        <color theme="1"/>
        <rFont val="Calibri"/>
        <family val="2"/>
        <scheme val="minor"/>
      </rPr>
      <t>NEW UPC = 874537000709</t>
    </r>
    <r>
      <rPr>
        <sz val="11"/>
        <color theme="1"/>
        <rFont val="Calibri"/>
        <family val="2"/>
        <scheme val="minor"/>
      </rPr>
      <t xml:space="preserve"> | OLD SCC = 10874537094149;  </t>
    </r>
    <r>
      <rPr>
        <b/>
        <sz val="11"/>
        <color theme="1"/>
        <rFont val="Calibri"/>
        <family val="2"/>
        <scheme val="minor"/>
      </rPr>
      <t>NEW SCC = 10874537000706</t>
    </r>
  </si>
  <si>
    <r>
      <t xml:space="preserve">UPC &amp; SCC Code updating: OLD UPC = 874537132141; </t>
    </r>
    <r>
      <rPr>
        <b/>
        <sz val="11"/>
        <color theme="1"/>
        <rFont val="Calibri"/>
        <family val="2"/>
        <scheme val="minor"/>
      </rPr>
      <t>NEW UPC = 874537000808</t>
    </r>
    <r>
      <rPr>
        <sz val="11"/>
        <color theme="1"/>
        <rFont val="Calibri"/>
        <family val="2"/>
        <scheme val="minor"/>
      </rPr>
      <t xml:space="preserve"> | OLD SCC = 10874537132148;  </t>
    </r>
    <r>
      <rPr>
        <b/>
        <sz val="11"/>
        <color theme="1"/>
        <rFont val="Calibri"/>
        <family val="2"/>
        <scheme val="minor"/>
      </rPr>
      <t>NEW SCC = 10874537000805</t>
    </r>
  </si>
  <si>
    <r>
      <t xml:space="preserve">UPC &amp; SCC Code updating: OLD UPC = 874537098140; </t>
    </r>
    <r>
      <rPr>
        <b/>
        <sz val="11"/>
        <color theme="1"/>
        <rFont val="Calibri"/>
        <family val="2"/>
        <scheme val="minor"/>
      </rPr>
      <t>NEW UPC = 874537000747</t>
    </r>
    <r>
      <rPr>
        <sz val="11"/>
        <color theme="1"/>
        <rFont val="Calibri"/>
        <family val="2"/>
        <scheme val="minor"/>
      </rPr>
      <t xml:space="preserve"> | OLD SCC = 10874537098147;  </t>
    </r>
    <r>
      <rPr>
        <b/>
        <sz val="11"/>
        <color theme="1"/>
        <rFont val="Calibri"/>
        <family val="2"/>
        <scheme val="minor"/>
      </rPr>
      <t>NEW SCC = 10874537000744</t>
    </r>
  </si>
  <si>
    <r>
      <t xml:space="preserve">UPC &amp; SCC Code updating: OLD UPC = 874537105145; </t>
    </r>
    <r>
      <rPr>
        <b/>
        <sz val="11"/>
        <color theme="1"/>
        <rFont val="Calibri"/>
        <family val="2"/>
        <scheme val="minor"/>
      </rPr>
      <t xml:space="preserve">NEW UPC = 874537000853 </t>
    </r>
    <r>
      <rPr>
        <sz val="11"/>
        <color theme="1"/>
        <rFont val="Calibri"/>
        <family val="2"/>
        <scheme val="minor"/>
      </rPr>
      <t xml:space="preserve">| OLD SCC = 10874537105142;  </t>
    </r>
    <r>
      <rPr>
        <b/>
        <sz val="11"/>
        <color theme="1"/>
        <rFont val="Calibri"/>
        <family val="2"/>
        <scheme val="minor"/>
      </rPr>
      <t>NEW SCC = 10874537000850</t>
    </r>
  </si>
  <si>
    <t>Fresh Perspectives Satin Red VQA</t>
  </si>
  <si>
    <t xml:space="preserve">874537040149 </t>
  </si>
  <si>
    <t>Discontinued - retail price falling below grocery floor price on August 19/18</t>
  </si>
  <si>
    <t>Carlsberg Lite 6pk-B+</t>
  </si>
  <si>
    <t>Collective Arts Fruit Sour</t>
  </si>
  <si>
    <t>Old Tomorrow Light'Er Up Canadian Craft Lager +</t>
  </si>
  <si>
    <t>Farmery Pink Lemonale</t>
  </si>
  <si>
    <t>Carib Lager+</t>
  </si>
  <si>
    <t>Molson Canadian 6 Pk-B</t>
  </si>
  <si>
    <t>Coors Light 6 Pk-B.</t>
  </si>
  <si>
    <t>Lake Of Bays Beach Break Lager With Lime</t>
  </si>
  <si>
    <r>
      <t xml:space="preserve">UPC &amp; SCC Codes updating: OLD UPC = 830021000716;  </t>
    </r>
    <r>
      <rPr>
        <b/>
        <sz val="11"/>
        <color theme="1"/>
        <rFont val="Calibri"/>
        <family val="2"/>
        <scheme val="minor"/>
      </rPr>
      <t>NEW UPC = 830021002000</t>
    </r>
    <r>
      <rPr>
        <sz val="11"/>
        <color theme="1"/>
        <rFont val="Calibri"/>
        <family val="2"/>
        <scheme val="minor"/>
      </rPr>
      <t xml:space="preserve"> | OLD SCC  10830021000713; </t>
    </r>
    <r>
      <rPr>
        <b/>
        <sz val="11"/>
        <color theme="1"/>
        <rFont val="Calibri"/>
        <family val="2"/>
        <scheme val="minor"/>
      </rPr>
      <t>NEW SCC =  10830021002007</t>
    </r>
  </si>
  <si>
    <t>Smashed Apple Cider</t>
  </si>
  <si>
    <r>
      <t xml:space="preserve">Supplying source changing from 2624 - CLAFELD FRUIT WINERY </t>
    </r>
    <r>
      <rPr>
        <b/>
        <sz val="11"/>
        <color theme="1"/>
        <rFont val="Calibri"/>
        <family val="2"/>
        <scheme val="minor"/>
      </rPr>
      <t xml:space="preserve"> to LCBO – 0001</t>
    </r>
  </si>
  <si>
    <r>
      <rPr>
        <b/>
        <sz val="11"/>
        <color theme="1"/>
        <rFont val="Calibri"/>
        <family val="2"/>
        <scheme val="minor"/>
      </rPr>
      <t xml:space="preserve">AMENDED: ONLY SCC CODE CHANGING: </t>
    </r>
    <r>
      <rPr>
        <sz val="11"/>
        <color theme="1"/>
        <rFont val="Calibri"/>
        <family val="2"/>
        <scheme val="minor"/>
      </rPr>
      <t xml:space="preserve">OLD SCC = 80056327072530;  </t>
    </r>
    <r>
      <rPr>
        <b/>
        <sz val="11"/>
        <color theme="1"/>
        <rFont val="Calibri"/>
        <family val="2"/>
        <scheme val="minor"/>
      </rPr>
      <t>NEW SCC = 10056327072531</t>
    </r>
  </si>
  <si>
    <r>
      <rPr>
        <b/>
        <sz val="11"/>
        <color theme="1"/>
        <rFont val="Calibri"/>
        <family val="2"/>
        <scheme val="minor"/>
      </rPr>
      <t xml:space="preserve">AMENDED: ONLY SCC CODE CHANGING:  </t>
    </r>
    <r>
      <rPr>
        <sz val="11"/>
        <color theme="1"/>
        <rFont val="Calibri"/>
        <family val="2"/>
        <scheme val="minor"/>
      </rPr>
      <t xml:space="preserve">OLD SCC = 80056327182536  </t>
    </r>
    <r>
      <rPr>
        <b/>
        <sz val="11"/>
        <color theme="1"/>
        <rFont val="Calibri"/>
        <family val="2"/>
        <scheme val="minor"/>
      </rPr>
      <t>NEW SCC = 10056327182537</t>
    </r>
  </si>
  <si>
    <r>
      <t xml:space="preserve">UPC &amp; SCC Codes updating OLD UPC = 056327072534; </t>
    </r>
    <r>
      <rPr>
        <b/>
        <strike/>
        <sz val="11"/>
        <color theme="1"/>
        <rFont val="Calibri"/>
        <family val="2"/>
        <scheme val="minor"/>
      </rPr>
      <t>NEW UPC = 056327011304  |</t>
    </r>
    <r>
      <rPr>
        <strike/>
        <sz val="11"/>
        <color theme="1"/>
        <rFont val="Calibri"/>
        <family val="2"/>
        <scheme val="minor"/>
      </rPr>
      <t xml:space="preserve"> OLD SCC = 80056327072530;  </t>
    </r>
    <r>
      <rPr>
        <b/>
        <strike/>
        <sz val="11"/>
        <color theme="1"/>
        <rFont val="Calibri"/>
        <family val="2"/>
        <scheme val="minor"/>
      </rPr>
      <t>NEW SCC = 10056327072531</t>
    </r>
  </si>
  <si>
    <r>
      <t xml:space="preserve">UPC &amp; SCC Codes updating OLD UPC =  056327182530 </t>
    </r>
    <r>
      <rPr>
        <b/>
        <strike/>
        <sz val="11"/>
        <color theme="1"/>
        <rFont val="Calibri"/>
        <family val="2"/>
        <scheme val="minor"/>
      </rPr>
      <t>NEW UPC = 056327009059   |</t>
    </r>
    <r>
      <rPr>
        <strike/>
        <sz val="11"/>
        <color theme="1"/>
        <rFont val="Calibri"/>
        <family val="2"/>
        <scheme val="minor"/>
      </rPr>
      <t xml:space="preserve"> OLD SCC = 80056327182536  </t>
    </r>
    <r>
      <rPr>
        <b/>
        <strike/>
        <sz val="11"/>
        <color theme="1"/>
        <rFont val="Calibri"/>
        <family val="2"/>
        <scheme val="minor"/>
      </rPr>
      <t>NEW SCC = 10056327182537</t>
    </r>
  </si>
  <si>
    <t>Cameron's Brewmaster Selection Pack V10</t>
  </si>
  <si>
    <t>Zywiec Beer 4 Pk-C</t>
  </si>
  <si>
    <t>Goodlot Farmstead Ale</t>
  </si>
  <si>
    <r>
      <t xml:space="preserve">Supplying source changing from 6825 - GOODLOT FARMSTEAD BREWING </t>
    </r>
    <r>
      <rPr>
        <b/>
        <sz val="11"/>
        <color theme="1"/>
        <rFont val="Calibri"/>
        <family val="2"/>
        <scheme val="minor"/>
      </rPr>
      <t xml:space="preserve"> to LCBO – 0001</t>
    </r>
  </si>
  <si>
    <t>Flying Monkeys Confederation Amber Ale</t>
  </si>
  <si>
    <t>Discontinued by supplier - replacing with single can: New LCBO#: 615211 - SCC code will remain the same</t>
  </si>
  <si>
    <t>Grimbergen Double-Ambree</t>
  </si>
  <si>
    <t>Landshark Lager 6-Pk B The Brick Brewing Co +</t>
  </si>
  <si>
    <r>
      <t xml:space="preserve">Supplying source changing from 0002 - TBS </t>
    </r>
    <r>
      <rPr>
        <b/>
        <sz val="11"/>
        <color theme="1"/>
        <rFont val="Calibri"/>
        <family val="2"/>
        <scheme val="minor"/>
      </rPr>
      <t xml:space="preserve"> to LCBO – 0001</t>
    </r>
  </si>
  <si>
    <r>
      <rPr>
        <b/>
        <sz val="11"/>
        <color theme="1"/>
        <rFont val="Calibri"/>
        <family val="2"/>
        <scheme val="minor"/>
      </rPr>
      <t xml:space="preserve">AMENDED - Effective Date is Immediate </t>
    </r>
    <r>
      <rPr>
        <sz val="11"/>
        <color theme="1"/>
        <rFont val="Calibri"/>
        <family val="2"/>
        <scheme val="minor"/>
      </rPr>
      <t>- Discontinued by supplier - replacing with single can: New LCBO#: 615211 - SCC code will remain the same</t>
    </r>
  </si>
  <si>
    <t>Hop City Big Tiki Tropical Punch</t>
  </si>
  <si>
    <t>0012453</t>
  </si>
  <si>
    <t>Railway City Brewing - Boxcar Graffiti</t>
  </si>
  <si>
    <t>856217001282</t>
  </si>
  <si>
    <t>0479030</t>
  </si>
  <si>
    <t>856217000193</t>
  </si>
  <si>
    <t>Molson Canadian 67</t>
  </si>
  <si>
    <t>Food Truck Chardonnay</t>
  </si>
  <si>
    <t>Masi Tupunga Passo Doble Organic</t>
  </si>
  <si>
    <r>
      <t xml:space="preserve">SCC Code updating: OLD SCC = 08002062010463;  </t>
    </r>
    <r>
      <rPr>
        <b/>
        <sz val="11"/>
        <color theme="1"/>
        <rFont val="Calibri"/>
        <family val="2"/>
        <scheme val="minor"/>
      </rPr>
      <t>NEW SCC = 08002062010753</t>
    </r>
    <r>
      <rPr>
        <sz val="11"/>
        <color theme="1"/>
        <rFont val="Calibri"/>
        <family val="2"/>
        <scheme val="minor"/>
      </rPr>
      <t xml:space="preserve"> (no Change to UPC)</t>
    </r>
  </si>
  <si>
    <t>Symington Saison</t>
  </si>
  <si>
    <t>Niagara Cider Company No. 1 Dry Apple Cider</t>
  </si>
  <si>
    <t>Producer Size: Large is incorrect. Producer size is SMALL</t>
  </si>
  <si>
    <t>Wellington Brewery Mix Volume 6</t>
  </si>
  <si>
    <t>Collective Arts Pina Colada Sour</t>
  </si>
  <si>
    <t>Collective Arts Project Ipa No. 10</t>
  </si>
  <si>
    <t>Discontinued - retail price falling below grocery floor price on September 19/18</t>
  </si>
  <si>
    <t>Bodacious Smooth Red Can</t>
  </si>
  <si>
    <t>Bodacious Pinot Grigio Can</t>
  </si>
  <si>
    <t>Rib Shack Red Vintage Blend</t>
  </si>
  <si>
    <t xml:space="preserve">663194000944 </t>
  </si>
  <si>
    <t>063657039793</t>
  </si>
  <si>
    <t xml:space="preserve">063657039786 </t>
  </si>
  <si>
    <t>Black Cellar Pinot Grigio</t>
  </si>
  <si>
    <t xml:space="preserve">048162014008 </t>
  </si>
  <si>
    <t xml:space="preserve">OverHop Hazy IPA </t>
  </si>
  <si>
    <t xml:space="preserve">628250847079 </t>
  </si>
  <si>
    <t>Herald Haus Perth County Conspiracy Pale Ale</t>
  </si>
  <si>
    <r>
      <t xml:space="preserve">Supplying source changing from 2625 - HERALD HAUS BREWING CO. to </t>
    </r>
    <r>
      <rPr>
        <b/>
        <sz val="11"/>
        <color theme="1"/>
        <rFont val="Calibri"/>
        <family val="2"/>
        <scheme val="minor"/>
      </rPr>
      <t>0002 - TBS</t>
    </r>
  </si>
  <si>
    <t>Yanjing Beer +</t>
  </si>
  <si>
    <t>Argento Cabernet Sauvignon Reserve</t>
  </si>
  <si>
    <t>Muskoka Summerweiss Tropical Wheat 473ml Can</t>
  </si>
  <si>
    <t xml:space="preserve">Columbia Crest Grand Estates Merlot </t>
  </si>
  <si>
    <t>Charles &amp; Charles Red Blend</t>
  </si>
  <si>
    <t>Pondview Dragonfly Pinot Grigio VQA</t>
  </si>
  <si>
    <r>
      <t xml:space="preserve">UPC &amp; SCC Code updating: OLD UPC = 832136001596; </t>
    </r>
    <r>
      <rPr>
        <b/>
        <sz val="11"/>
        <color theme="1"/>
        <rFont val="Calibri"/>
        <family val="2"/>
        <scheme val="minor"/>
      </rPr>
      <t>NEW UPC = 832136001749</t>
    </r>
    <r>
      <rPr>
        <sz val="11"/>
        <color theme="1"/>
        <rFont val="Calibri"/>
        <family val="2"/>
        <scheme val="minor"/>
      </rPr>
      <t xml:space="preserve"> | OLD SCC = 10832136001593;  </t>
    </r>
    <r>
      <rPr>
        <b/>
        <sz val="11"/>
        <color theme="1"/>
        <rFont val="Calibri"/>
        <family val="2"/>
        <scheme val="minor"/>
      </rPr>
      <t>NEW SCC = 10832136001746</t>
    </r>
  </si>
  <si>
    <t>Fielding Long Weekend Wine Co Rose</t>
  </si>
  <si>
    <t>Lakeview Cellars Vidal Icewine VQA</t>
  </si>
  <si>
    <r>
      <t xml:space="preserve">UPC &amp; SCC Code updating: OLD UPC = 874537063148; </t>
    </r>
    <r>
      <rPr>
        <b/>
        <sz val="11"/>
        <color theme="1"/>
        <rFont val="Calibri"/>
        <family val="2"/>
        <scheme val="minor"/>
      </rPr>
      <t>NEW UPC = 874537001003</t>
    </r>
    <r>
      <rPr>
        <sz val="11"/>
        <color theme="1"/>
        <rFont val="Calibri"/>
        <family val="2"/>
        <scheme val="minor"/>
      </rPr>
      <t xml:space="preserve"> | OLD SCC = 10874537063145;  </t>
    </r>
    <r>
      <rPr>
        <b/>
        <sz val="11"/>
        <color theme="1"/>
        <rFont val="Calibri"/>
        <family val="2"/>
        <scheme val="minor"/>
      </rPr>
      <t>NEW SCC = 10874537001000</t>
    </r>
  </si>
  <si>
    <r>
      <t xml:space="preserve">SCC Code updating: OLD SCC = 43179073004439;  </t>
    </r>
    <r>
      <rPr>
        <b/>
        <sz val="11"/>
        <color theme="1"/>
        <rFont val="Calibri"/>
        <family val="2"/>
        <scheme val="minor"/>
      </rPr>
      <t>NEW SCC = 03179075025465</t>
    </r>
    <r>
      <rPr>
        <sz val="11"/>
        <color theme="1"/>
        <rFont val="Calibri"/>
        <family val="2"/>
        <scheme val="minor"/>
      </rPr>
      <t xml:space="preserve"> (no Change to UPC)</t>
    </r>
  </si>
  <si>
    <t>Les Dauphins Cotes Du Phone Reserve Red AOC</t>
  </si>
  <si>
    <t>Joiy Rose Sparkling</t>
  </si>
  <si>
    <t>Discontinued - retail price falling below grocery floor price on October 7/19</t>
  </si>
  <si>
    <t>Pelee Island Secco VQA</t>
  </si>
  <si>
    <t>County Durham Ale 473 Can</t>
  </si>
  <si>
    <t>Farmers Market Rosso Organic Vd'Italia</t>
  </si>
  <si>
    <t>Discontinued by supplier (product going below grocery floor price on Oct 14)</t>
  </si>
  <si>
    <t>Megalomaniac Homegrown Rose VQA</t>
  </si>
  <si>
    <t>Coors Slice 473ml</t>
  </si>
  <si>
    <t>Coors Light Grab &amp; Chill</t>
  </si>
  <si>
    <t>County Pear Cider</t>
  </si>
  <si>
    <t>County Apple Cider</t>
  </si>
  <si>
    <t>County Peach Cider</t>
  </si>
  <si>
    <t>Waupoos Premium Cider  4 Pk-B (W)</t>
  </si>
  <si>
    <r>
      <t xml:space="preserve">Supplying source changing from Producer:3753 - COUNTY CIDER COMPANY; to </t>
    </r>
    <r>
      <rPr>
        <b/>
        <sz val="11"/>
        <color theme="1"/>
        <rFont val="Calibri"/>
        <family val="2"/>
        <scheme val="minor"/>
      </rPr>
      <t>0001 - LCBO</t>
    </r>
  </si>
  <si>
    <t>1500mL</t>
  </si>
  <si>
    <t>20 Bees Grower's Red VQA</t>
  </si>
  <si>
    <t>Vineland Sauvignon Blanc  VQA</t>
  </si>
  <si>
    <t>No stock to supply grocers due to faulty product</t>
  </si>
  <si>
    <t>Sutter Home White Zinfandel</t>
  </si>
  <si>
    <t>Revolution Red</t>
  </si>
  <si>
    <t>Apothic White</t>
  </si>
  <si>
    <t>Prospect Chardonnay VQA</t>
  </si>
  <si>
    <t>Prospect Cabernet Merlot VQA</t>
  </si>
  <si>
    <t>Beringer Founders Estate Zinfandel</t>
  </si>
  <si>
    <t>Chateau St. Jean Pinot Noir</t>
  </si>
  <si>
    <t>Beringer Founders Estate Sauvignon Blanc</t>
  </si>
  <si>
    <t>Market Brewing Company Flee To Pennsylvania</t>
  </si>
  <si>
    <t>Cream Ale By Frank Brewing</t>
  </si>
  <si>
    <r>
      <t xml:space="preserve">Supplying source changing from 0002 - TBS; to </t>
    </r>
    <r>
      <rPr>
        <b/>
        <sz val="11"/>
        <color theme="1"/>
        <rFont val="Calibri"/>
        <family val="2"/>
        <scheme val="minor"/>
      </rPr>
      <t>producer: 0596 - ABE ERB/1907142 ONT INC</t>
    </r>
  </si>
  <si>
    <t>Angry Orchard Rose</t>
  </si>
  <si>
    <t>Waterloo Grapefruit Radler</t>
  </si>
  <si>
    <r>
      <t xml:space="preserve">Discontinued by supplier - to be replaced with </t>
    </r>
    <r>
      <rPr>
        <b/>
        <sz val="11"/>
        <color theme="1"/>
        <rFont val="Calibri"/>
        <family val="2"/>
        <scheme val="minor"/>
      </rPr>
      <t>LCBO# 12858 NEW UPC = 620707111740, NEW SCC = 20620707111744</t>
    </r>
  </si>
  <si>
    <t>Royal City Exhibition Session Ipa</t>
  </si>
  <si>
    <r>
      <t xml:space="preserve">NEW UPC: </t>
    </r>
    <r>
      <rPr>
        <b/>
        <sz val="11"/>
        <color theme="1"/>
        <rFont val="Calibri"/>
        <family val="2"/>
        <scheme val="minor"/>
      </rPr>
      <t>627843472568</t>
    </r>
  </si>
  <si>
    <r>
      <t xml:space="preserve">UPC &amp; SCC Code updating: OLD UPC = 882842000031; </t>
    </r>
    <r>
      <rPr>
        <b/>
        <sz val="11"/>
        <color theme="1"/>
        <rFont val="Calibri"/>
        <family val="2"/>
        <scheme val="minor"/>
      </rPr>
      <t>NEW UPC = 892760001126</t>
    </r>
    <r>
      <rPr>
        <sz val="11"/>
        <color theme="1"/>
        <rFont val="Calibri"/>
        <family val="2"/>
        <scheme val="minor"/>
      </rPr>
      <t xml:space="preserve"> | OLD SCC = 10882842000038;  </t>
    </r>
    <r>
      <rPr>
        <b/>
        <sz val="11"/>
        <color theme="1"/>
        <rFont val="Calibri"/>
        <family val="2"/>
        <scheme val="minor"/>
      </rPr>
      <t>NEW SCC = 10892760001123</t>
    </r>
  </si>
  <si>
    <r>
      <t xml:space="preserve">Discontinued by supplier: </t>
    </r>
    <r>
      <rPr>
        <b/>
        <sz val="11"/>
        <color theme="1"/>
        <rFont val="Calibri"/>
        <family val="2"/>
        <scheme val="minor"/>
      </rPr>
      <t>UPDATE - PRODUCT WILL REMAIN AVAILABLE</t>
    </r>
  </si>
  <si>
    <t>Welly Re-Boot Pack Vol 3</t>
  </si>
  <si>
    <t>Thornbury Premium Apple Cider</t>
  </si>
  <si>
    <t>Thornbury Craft Cranberry Cider</t>
  </si>
  <si>
    <r>
      <t xml:space="preserve">UPC &amp; SCC Code updating: OLD UPC = 400003987825; </t>
    </r>
    <r>
      <rPr>
        <b/>
        <sz val="11"/>
        <color theme="1"/>
        <rFont val="Calibri"/>
        <family val="2"/>
        <scheme val="minor"/>
      </rPr>
      <t>NEW UPC = 779373398723</t>
    </r>
    <r>
      <rPr>
        <sz val="11"/>
        <color theme="1"/>
        <rFont val="Calibri"/>
        <family val="2"/>
        <scheme val="minor"/>
      </rPr>
      <t xml:space="preserve"> | OLD SCC = 10400003987822;   </t>
    </r>
    <r>
      <rPr>
        <b/>
        <sz val="11"/>
        <color theme="1"/>
        <rFont val="Calibri"/>
        <family val="2"/>
        <scheme val="minor"/>
      </rPr>
      <t>NEW SCC = 10779373398720</t>
    </r>
  </si>
  <si>
    <r>
      <t xml:space="preserve">UPC &amp; SCC Code updating: OLD UPC = 400003987863; </t>
    </r>
    <r>
      <rPr>
        <b/>
        <sz val="11"/>
        <color theme="1"/>
        <rFont val="Calibri"/>
        <family val="2"/>
        <scheme val="minor"/>
      </rPr>
      <t>NEW UPC = 779373398761</t>
    </r>
    <r>
      <rPr>
        <sz val="11"/>
        <color theme="1"/>
        <rFont val="Calibri"/>
        <family val="2"/>
        <scheme val="minor"/>
      </rPr>
      <t xml:space="preserve"> | OLD SCC = 10400003987860;  </t>
    </r>
    <r>
      <rPr>
        <b/>
        <sz val="11"/>
        <color theme="1"/>
        <rFont val="Calibri"/>
        <family val="2"/>
        <scheme val="minor"/>
      </rPr>
      <t>NEW SCC = 10779373398768</t>
    </r>
  </si>
  <si>
    <t>Cave Spring Cabernet Franc VQA</t>
  </si>
  <si>
    <t>Chateau Des Charmes Generation Seven Red VQA</t>
  </si>
  <si>
    <t>Giesen Sauvignon Blanc Marlborough</t>
  </si>
  <si>
    <t>Angove Organic Shiraz</t>
  </si>
  <si>
    <t>Food Truck Shiraz</t>
  </si>
  <si>
    <t>Hopes End Red Blend</t>
  </si>
  <si>
    <t xml:space="preserve">Lakeview Cellars 17 Cab Franc Icewine </t>
  </si>
  <si>
    <r>
      <t xml:space="preserve">UPC &amp; SCC Code updating: OLD UPC = 874537102113; </t>
    </r>
    <r>
      <rPr>
        <b/>
        <sz val="11"/>
        <color theme="1"/>
        <rFont val="Calibri"/>
        <family val="2"/>
        <scheme val="minor"/>
      </rPr>
      <t>NEW UPC = 874537001010</t>
    </r>
    <r>
      <rPr>
        <sz val="11"/>
        <color theme="1"/>
        <rFont val="Calibri"/>
        <family val="2"/>
        <scheme val="minor"/>
      </rPr>
      <t xml:space="preserve"> | OLD SCC = 10874537102110;  </t>
    </r>
    <r>
      <rPr>
        <b/>
        <sz val="11"/>
        <color theme="1"/>
        <rFont val="Calibri"/>
        <family val="2"/>
        <scheme val="minor"/>
      </rPr>
      <t>NEW SCC = 10874537001017</t>
    </r>
  </si>
  <si>
    <r>
      <t xml:space="preserve">UPC &amp; SCC Code updating: OLD UPC = 874537150145; </t>
    </r>
    <r>
      <rPr>
        <b/>
        <sz val="11"/>
        <color theme="1"/>
        <rFont val="Calibri"/>
        <family val="2"/>
        <scheme val="minor"/>
      </rPr>
      <t>NEW UPC = 874537001188</t>
    </r>
    <r>
      <rPr>
        <sz val="11"/>
        <color theme="1"/>
        <rFont val="Calibri"/>
        <family val="2"/>
        <scheme val="minor"/>
      </rPr>
      <t xml:space="preserve"> | OLD SCC = 10874537150142;  </t>
    </r>
    <r>
      <rPr>
        <b/>
        <sz val="11"/>
        <color theme="1"/>
        <rFont val="Calibri"/>
        <family val="2"/>
        <scheme val="minor"/>
      </rPr>
      <t>NEW SCC = 10874537001185</t>
    </r>
  </si>
  <si>
    <t xml:space="preserve">Lakeview Cellars 17 Cab Sauv Icewine </t>
  </si>
  <si>
    <r>
      <t xml:space="preserve">UPC &amp; SCC Code updating: OLD UPC = 874537041146; </t>
    </r>
    <r>
      <rPr>
        <b/>
        <sz val="11"/>
        <color theme="1"/>
        <rFont val="Calibri"/>
        <family val="2"/>
        <scheme val="minor"/>
      </rPr>
      <t>NEW UPC = 874537000341</t>
    </r>
    <r>
      <rPr>
        <sz val="11"/>
        <color theme="1"/>
        <rFont val="Calibri"/>
        <family val="2"/>
        <scheme val="minor"/>
      </rPr>
      <t xml:space="preserve"> | OLD SCC = 10874537041143;  </t>
    </r>
    <r>
      <rPr>
        <b/>
        <sz val="11"/>
        <color theme="1"/>
        <rFont val="Calibri"/>
        <family val="2"/>
        <scheme val="minor"/>
      </rPr>
      <t>NEW SCC = 10874537000348</t>
    </r>
  </si>
  <si>
    <r>
      <t xml:space="preserve">UPC &amp; SCC Code updating: OLD UPC = 874537044147; </t>
    </r>
    <r>
      <rPr>
        <b/>
        <sz val="11"/>
        <color theme="1"/>
        <rFont val="Calibri"/>
        <family val="2"/>
        <scheme val="minor"/>
      </rPr>
      <t>NEW UPC = 874537000389</t>
    </r>
    <r>
      <rPr>
        <sz val="11"/>
        <color theme="1"/>
        <rFont val="Calibri"/>
        <family val="2"/>
        <scheme val="minor"/>
      </rPr>
      <t xml:space="preserve"> | OLD SCC = 10874537044144;  </t>
    </r>
    <r>
      <rPr>
        <b/>
        <sz val="11"/>
        <color theme="1"/>
        <rFont val="Calibri"/>
        <family val="2"/>
        <scheme val="minor"/>
      </rPr>
      <t>NEW SCC = 10874537000386</t>
    </r>
  </si>
  <si>
    <t>Fresh Sparkling Rose VQA</t>
  </si>
  <si>
    <t>Fresh Adventures Crisp White VQA</t>
  </si>
  <si>
    <t xml:space="preserve">Columbia Crest Grand Estates Cabernet Sauvingon </t>
  </si>
  <si>
    <t>Columbia Crest Grand Estates Chardonnay</t>
  </si>
  <si>
    <t>Erath Pinot Noir</t>
  </si>
  <si>
    <t>Schnitzer Brau Organic Gluten Free Lagr+</t>
  </si>
  <si>
    <r>
      <t>SCC Code updating: OLD SCC = 14260108510044  |</t>
    </r>
    <r>
      <rPr>
        <b/>
        <sz val="11"/>
        <color theme="1"/>
        <rFont val="Calibri"/>
        <family val="2"/>
        <scheme val="minor"/>
      </rPr>
      <t xml:space="preserve"> NEW SCC = 04260108519187</t>
    </r>
  </si>
  <si>
    <t>Hofbrau Original Lager</t>
  </si>
  <si>
    <r>
      <t>SCC Code updating: OLD SCC =8005686001091 |</t>
    </r>
    <r>
      <rPr>
        <b/>
        <sz val="11"/>
        <color theme="1"/>
        <rFont val="Calibri"/>
        <family val="2"/>
        <scheme val="minor"/>
      </rPr>
      <t xml:space="preserve"> NEW SCC = 14005686901293</t>
    </r>
  </si>
  <si>
    <t>Fresita Sparkling Wine</t>
  </si>
  <si>
    <t>Tawse Quarry Road Chardonnay VQA</t>
  </si>
  <si>
    <r>
      <t xml:space="preserve">UPC &amp; SCC Code updating: OLD UPC = 670459007754; </t>
    </r>
    <r>
      <rPr>
        <b/>
        <sz val="11"/>
        <color theme="1"/>
        <rFont val="Calibri"/>
        <family val="2"/>
        <scheme val="minor"/>
      </rPr>
      <t>NEW UPC = 670459008768</t>
    </r>
    <r>
      <rPr>
        <sz val="11"/>
        <color theme="1"/>
        <rFont val="Calibri"/>
        <family val="2"/>
        <scheme val="minor"/>
      </rPr>
      <t xml:space="preserve"> | OLD SCC = 10670459007751;  </t>
    </r>
    <r>
      <rPr>
        <b/>
        <sz val="11"/>
        <color theme="1"/>
        <rFont val="Calibri"/>
        <family val="2"/>
        <scheme val="minor"/>
      </rPr>
      <t>NEW SCC = 10670459008765</t>
    </r>
  </si>
  <si>
    <t>Discontinued by supplier (&amp; converting to new 12-CASE PACK new LCBO# 56697 as later date-TBD)</t>
  </si>
  <si>
    <t>Mill Street Tankhouse Ale 6 Pk-B</t>
  </si>
  <si>
    <t>0855315000074</t>
  </si>
  <si>
    <t>Mill Street Essentials Mix Pack</t>
  </si>
  <si>
    <t>855315004911</t>
  </si>
  <si>
    <t>Mill Street 100th Meridian Organic</t>
  </si>
  <si>
    <t>855315000975</t>
  </si>
  <si>
    <r>
      <rPr>
        <strike/>
        <sz val="11"/>
        <color theme="1"/>
        <rFont val="Calibri"/>
        <family val="2"/>
        <scheme val="minor"/>
      </rPr>
      <t xml:space="preserve">UPC &amp; SCC Code updating: OLD UPC = 400003987863; </t>
    </r>
    <r>
      <rPr>
        <b/>
        <strike/>
        <sz val="11"/>
        <color theme="1"/>
        <rFont val="Calibri"/>
        <family val="2"/>
        <scheme val="minor"/>
      </rPr>
      <t>NEW UPC = 779373398761</t>
    </r>
    <r>
      <rPr>
        <strike/>
        <sz val="11"/>
        <color theme="1"/>
        <rFont val="Calibri"/>
        <family val="2"/>
        <scheme val="minor"/>
      </rPr>
      <t xml:space="preserve"> | OLD SCC = 10400003987860;  </t>
    </r>
    <r>
      <rPr>
        <b/>
        <strike/>
        <sz val="11"/>
        <color theme="1"/>
        <rFont val="Calibri"/>
        <family val="2"/>
        <scheme val="minor"/>
      </rPr>
      <t>NEW SCC = 10779373398768</t>
    </r>
    <r>
      <rPr>
        <b/>
        <sz val="11"/>
        <color theme="1"/>
        <rFont val="Calibri"/>
        <family val="2"/>
        <scheme val="minor"/>
      </rPr>
      <t xml:space="preserve"> - CHANGE EFFECTIVE 11/13/19 CANCELLED. SUPPLIER WILL SHIP: UPC =  400003987863; SCC = 10400003987860  </t>
    </r>
  </si>
  <si>
    <t>Stiegl Beer 6-Pk-B+</t>
  </si>
  <si>
    <r>
      <t xml:space="preserve">UPC Code updating: OLD UPC = 9003402650133; </t>
    </r>
    <r>
      <rPr>
        <b/>
        <sz val="11"/>
        <color theme="1"/>
        <rFont val="Calibri"/>
        <family val="2"/>
        <scheme val="minor"/>
      </rPr>
      <t>NEW UPC = 9003401750131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</si>
  <si>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UPC &amp; SCC Code updating: OLD UPC = 180756000681; </t>
    </r>
    <r>
      <rPr>
        <b/>
        <sz val="11"/>
        <color theme="1"/>
        <rFont val="Calibri"/>
        <family val="2"/>
        <scheme val="minor"/>
      </rPr>
      <t>NEW UPC = 180756000889</t>
    </r>
    <r>
      <rPr>
        <sz val="11"/>
        <color theme="1"/>
        <rFont val="Calibri"/>
        <family val="2"/>
        <scheme val="minor"/>
      </rPr>
      <t xml:space="preserve"> | OLD SCC = 10180756000473;  </t>
    </r>
    <r>
      <rPr>
        <b/>
        <sz val="11"/>
        <color theme="1"/>
        <rFont val="Calibri"/>
        <family val="2"/>
        <scheme val="minor"/>
      </rPr>
      <t>NEW SCC = 10180756000657</t>
    </r>
  </si>
  <si>
    <t>Prince Edward Clossen Chase Pinot Noir 2016</t>
  </si>
  <si>
    <t xml:space="preserve">Yellow Tail Merlot </t>
  </si>
  <si>
    <r>
      <t xml:space="preserve">UPC Code updating: OLD UPC = 9322214009060; </t>
    </r>
    <r>
      <rPr>
        <b/>
        <sz val="11"/>
        <color theme="1"/>
        <rFont val="Calibri"/>
        <family val="2"/>
        <scheme val="minor"/>
      </rPr>
      <t>NEW UPC = 839743000035</t>
    </r>
    <r>
      <rPr>
        <sz val="11"/>
        <color theme="1"/>
        <rFont val="Calibri"/>
        <family val="2"/>
        <scheme val="minor"/>
      </rPr>
      <t xml:space="preserve"> </t>
    </r>
  </si>
  <si>
    <t>Pillitteri Canadian Gothic Cabernet Merlot VQA</t>
  </si>
  <si>
    <r>
      <t xml:space="preserve">Supplying source changing from 0001 - LCBO; to </t>
    </r>
    <r>
      <rPr>
        <b/>
        <sz val="11"/>
        <color theme="1"/>
        <rFont val="Calibri"/>
        <family val="2"/>
        <scheme val="minor"/>
      </rPr>
      <t>Producer: 4499 - PILLITTERI ESTATES</t>
    </r>
  </si>
  <si>
    <t>Snake  Bite Apple Ale</t>
  </si>
  <si>
    <t>Cameron's First Light Session Lager</t>
  </si>
  <si>
    <t>ICellars Estate Arinna 2015 VQA</t>
  </si>
  <si>
    <t>Bobcaygeon Foliage Autumn Ale</t>
  </si>
  <si>
    <t>Nita Beer Company Ten12 +</t>
  </si>
  <si>
    <t>Sledgehammer Cabernet Sauvignon</t>
  </si>
  <si>
    <t>Sterling Vintner's Pinot Noir</t>
  </si>
  <si>
    <t>Mission Hill Chardonnay VQA Five Vineyards</t>
  </si>
  <si>
    <t>Masi Costasera Amarone Classico DOC</t>
  </si>
  <si>
    <r>
      <t>SCC Code updating: OLD SCC = 8002062000051 |</t>
    </r>
    <r>
      <rPr>
        <b/>
        <sz val="11"/>
        <color theme="1"/>
        <rFont val="Calibri"/>
        <family val="2"/>
        <scheme val="minor"/>
      </rPr>
      <t xml:space="preserve"> NEW SCC = 08002062010616</t>
    </r>
    <r>
      <rPr>
        <sz val="11"/>
        <color theme="1"/>
        <rFont val="Calibri"/>
        <family val="2"/>
        <scheme val="minor"/>
      </rPr>
      <t xml:space="preserve"> (no UPC change) </t>
    </r>
  </si>
  <si>
    <t>0010554</t>
  </si>
  <si>
    <t>Mad &amp; Noisy Orange Pale Ale</t>
  </si>
  <si>
    <t>627005544010</t>
  </si>
  <si>
    <t>0012170</t>
  </si>
  <si>
    <t>Mad &amp; Noisy Coconut Porter.</t>
  </si>
  <si>
    <t>627005554019</t>
  </si>
  <si>
    <t>0346254</t>
  </si>
  <si>
    <t>Mad &amp; Noisy India Pale Lager</t>
  </si>
  <si>
    <t>627005504014</t>
  </si>
  <si>
    <t xml:space="preserve">Lindeman's Pinot Grigio Can </t>
  </si>
  <si>
    <t>250mL</t>
  </si>
  <si>
    <t xml:space="preserve">Lindeman's Shiraz Can </t>
  </si>
  <si>
    <t>Cupcake Black Forest Decadent Red</t>
  </si>
  <si>
    <t>Magnotta True North Polar Lager</t>
  </si>
  <si>
    <t>Strongbow Cider 6 Pk-B</t>
  </si>
  <si>
    <t>Savanna Premium Cider</t>
  </si>
  <si>
    <t>Blackthorn Cider</t>
  </si>
  <si>
    <t>Molson Canadian Cider</t>
  </si>
  <si>
    <t>Somersby Rose Cider</t>
  </si>
  <si>
    <t>Silly Sir Brewing - Sun Bear Blonde Ale</t>
  </si>
  <si>
    <t>627987146042</t>
  </si>
  <si>
    <t>Catapult Brewing Kolsch-Style Lagered Ale</t>
  </si>
  <si>
    <t>628250551112</t>
  </si>
  <si>
    <t>New Limburg Brewing Grisette</t>
  </si>
  <si>
    <t>627843602477</t>
  </si>
  <si>
    <t>Lost Craft Tropical Radler</t>
  </si>
  <si>
    <t>627843546924</t>
  </si>
  <si>
    <t>626824000158</t>
  </si>
  <si>
    <t>Forked River Flashback</t>
  </si>
  <si>
    <t>717390416938</t>
  </si>
  <si>
    <t>Haliburton Highlands Brewing Blueline Blonde Ale</t>
  </si>
  <si>
    <t>628055555513</t>
  </si>
  <si>
    <t>GLUTENBERG BLONDE 4x473.</t>
  </si>
  <si>
    <t>Sawdust Citya Place To Stand</t>
  </si>
  <si>
    <t>Brimstone Brewing Enlightenment Ale</t>
  </si>
  <si>
    <t>Alamos Malbec</t>
  </si>
  <si>
    <r>
      <t>UPC Code updating: OLD UPC  = 7794450008084 |</t>
    </r>
    <r>
      <rPr>
        <b/>
        <sz val="11"/>
        <color theme="1"/>
        <rFont val="Calibri"/>
        <family val="2"/>
        <scheme val="minor"/>
      </rPr>
      <t xml:space="preserve"> NEW UPC = 0085000018194</t>
    </r>
    <r>
      <rPr>
        <sz val="11"/>
        <color theme="1"/>
        <rFont val="Calibri"/>
        <family val="2"/>
        <scheme val="minor"/>
      </rPr>
      <t xml:space="preserve"> (no SCC change) </t>
    </r>
  </si>
  <si>
    <r>
      <t>UPC Code updating: OLD UPC  = 832958000524 |</t>
    </r>
    <r>
      <rPr>
        <b/>
        <sz val="11"/>
        <color theme="1"/>
        <rFont val="Calibri"/>
        <family val="2"/>
        <scheme val="minor"/>
      </rPr>
      <t xml:space="preserve"> NEW UPC = 832958000227</t>
    </r>
    <r>
      <rPr>
        <sz val="11"/>
        <color theme="1"/>
        <rFont val="Calibri"/>
        <family val="2"/>
        <scheme val="minor"/>
      </rPr>
      <t xml:space="preserve"> (no SCC change) </t>
    </r>
  </si>
  <si>
    <t xml:space="preserve">Creekside Backyard Bubbly Sauv Blanc VQA 2017 </t>
  </si>
  <si>
    <t>Discontinued by supplier (product going below grocery floor price on  Jan 6)</t>
  </si>
  <si>
    <t>Tilia Malbec</t>
  </si>
  <si>
    <t>Sartori Valpolicella Classico</t>
  </si>
  <si>
    <t>Concilio Pinot Grigio Trentino Doc</t>
  </si>
  <si>
    <t>7794450091598</t>
  </si>
  <si>
    <t>8005390065235</t>
  </si>
  <si>
    <t>8000186000582</t>
  </si>
  <si>
    <t xml:space="preserve">PIERRE SPARR CREMANT D'ALSACE BRUT RESERVE </t>
  </si>
  <si>
    <t xml:space="preserve">3263530000781 </t>
  </si>
  <si>
    <t>372185</t>
  </si>
  <si>
    <t>Masi Masianco Pinot Grigio &amp; Verduzzo</t>
  </si>
  <si>
    <t xml:space="preserve">8002062007289 </t>
  </si>
  <si>
    <t>20 Bees Chardonnay Unoaked VQA</t>
  </si>
  <si>
    <r>
      <t xml:space="preserve">UPC &amp; SCC Code updating: OLD UPC = 874537035145; </t>
    </r>
    <r>
      <rPr>
        <b/>
        <sz val="11"/>
        <color theme="1"/>
        <rFont val="Calibri"/>
        <family val="2"/>
        <scheme val="minor"/>
      </rPr>
      <t>NEW UPC = 874537000105</t>
    </r>
    <r>
      <rPr>
        <sz val="11"/>
        <color theme="1"/>
        <rFont val="Calibri"/>
        <family val="2"/>
        <scheme val="minor"/>
      </rPr>
      <t xml:space="preserve"> | OLD SCC = 10874537035142;  </t>
    </r>
    <r>
      <rPr>
        <b/>
        <sz val="11"/>
        <color theme="1"/>
        <rFont val="Calibri"/>
        <family val="2"/>
        <scheme val="minor"/>
      </rPr>
      <t>NEW SCC = 10874537000102</t>
    </r>
  </si>
  <si>
    <r>
      <t xml:space="preserve">UPC &amp; SCC Code updating: OLD UPC = 874537364146; </t>
    </r>
    <r>
      <rPr>
        <b/>
        <sz val="11"/>
        <color theme="1"/>
        <rFont val="Calibri"/>
        <family val="2"/>
        <scheme val="minor"/>
      </rPr>
      <t>NEW UPC = 874537001638</t>
    </r>
    <r>
      <rPr>
        <sz val="11"/>
        <color theme="1"/>
        <rFont val="Calibri"/>
        <family val="2"/>
        <scheme val="minor"/>
      </rPr>
      <t xml:space="preserve"> | OLD SCC = 10874537364143  </t>
    </r>
    <r>
      <rPr>
        <b/>
        <sz val="11"/>
        <color theme="1"/>
        <rFont val="Calibri"/>
        <family val="2"/>
        <scheme val="minor"/>
      </rPr>
      <t>NEW SCC = 10874537001635</t>
    </r>
  </si>
  <si>
    <t>McMichael Colletion Chardonnay VQA</t>
  </si>
  <si>
    <r>
      <t xml:space="preserve">UPC &amp; SCC Code updating: OLD UPC = 874537076148; </t>
    </r>
    <r>
      <rPr>
        <b/>
        <sz val="11"/>
        <color theme="1"/>
        <rFont val="Calibri"/>
        <family val="2"/>
        <scheme val="minor"/>
      </rPr>
      <t>NEW UPC = 874537000525</t>
    </r>
    <r>
      <rPr>
        <sz val="11"/>
        <color theme="1"/>
        <rFont val="Calibri"/>
        <family val="2"/>
        <scheme val="minor"/>
      </rPr>
      <t xml:space="preserve"> | OLD SCC = 10874537076145;  </t>
    </r>
    <r>
      <rPr>
        <b/>
        <sz val="11"/>
        <color theme="1"/>
        <rFont val="Calibri"/>
        <family val="2"/>
        <scheme val="minor"/>
      </rPr>
      <t>NEW SCC = 10874537000522</t>
    </r>
  </si>
  <si>
    <t>Dan Aykroyd Chardonnay VQA</t>
  </si>
  <si>
    <t>Discontinued by supplier (&amp; converting to new 12-CASE PACK new LCBO# 56697, effective immediately)</t>
  </si>
  <si>
    <t>Coors Banquet+</t>
  </si>
  <si>
    <t>Outset Sparkling White VQA Can</t>
  </si>
  <si>
    <t>Canuck Pale Ale Great Lakes Brewing 4x473ml</t>
  </si>
  <si>
    <t>Pompous Ass Ale Great Lakes Brewing 4x473ml</t>
  </si>
  <si>
    <t>Beau's + DAVIDs TEA London Fog</t>
  </si>
  <si>
    <t>473mL</t>
  </si>
  <si>
    <t>Flying Monkeys Smashbomb Atomic Ipa</t>
  </si>
  <si>
    <t>Murphy's Irish Stout C++</t>
  </si>
  <si>
    <t xml:space="preserve">HENKELL ROSE PICCOLO (3X200ML) </t>
  </si>
  <si>
    <t>4003310162112</t>
  </si>
  <si>
    <r>
      <t xml:space="preserve">UPC Code updating: OLD UPC  = 4003310162112| </t>
    </r>
    <r>
      <rPr>
        <b/>
        <sz val="11"/>
        <color theme="1"/>
        <rFont val="Calibri"/>
        <family val="2"/>
        <scheme val="minor"/>
      </rPr>
      <t>NEW UPC = 4003310012387</t>
    </r>
    <r>
      <rPr>
        <sz val="11"/>
        <color theme="1"/>
        <rFont val="Calibri"/>
        <family val="2"/>
        <scheme val="minor"/>
      </rPr>
      <t xml:space="preserve">  (no SCC change) </t>
    </r>
  </si>
  <si>
    <t xml:space="preserve">BOTA BOX CABERNET SAUVIGNON BIB </t>
  </si>
  <si>
    <t>492363</t>
  </si>
  <si>
    <t xml:space="preserve">082242010450 </t>
  </si>
  <si>
    <t>Discontinued - retail price falling below grocery floor price May 2020</t>
  </si>
  <si>
    <t>Lake Of Bays Toasty Toes Taster Pack**</t>
  </si>
  <si>
    <t>2365 mL</t>
  </si>
  <si>
    <t>Sapporo Gift Pack **</t>
  </si>
  <si>
    <t>Perth Brewery Christmas 4-Pack **</t>
  </si>
  <si>
    <t>Stella Artois***</t>
  </si>
  <si>
    <t>Railway City Gift Pack**</t>
  </si>
  <si>
    <t>Paulaner Hefe-Weissbier 6 Pk-B+</t>
  </si>
  <si>
    <t>Lakefront New Grist Gluten-Free (Sorgum &amp; Rice)</t>
  </si>
  <si>
    <t>Lagershed Original 4pack Can</t>
  </si>
  <si>
    <r>
      <t xml:space="preserve">Supplying source changing from 0001 - LCBO  to </t>
    </r>
    <r>
      <rPr>
        <b/>
        <sz val="11"/>
        <color theme="1"/>
        <rFont val="Calibri"/>
        <family val="2"/>
        <scheme val="minor"/>
      </rPr>
      <t>Producer:  0902 - SHED BREWING CO</t>
    </r>
  </si>
  <si>
    <t>Riverside Pilsner</t>
  </si>
  <si>
    <r>
      <t xml:space="preserve">Supplying source changing from 0001 - LCBO  to </t>
    </r>
    <r>
      <rPr>
        <b/>
        <sz val="11"/>
        <color theme="1"/>
        <rFont val="Calibri"/>
        <family val="2"/>
        <scheme val="minor"/>
      </rPr>
      <t>Producer:  2211 - SAULTER STREET BREWERY</t>
    </r>
  </si>
  <si>
    <t>Magnotta Beaver Tail Red Ale</t>
  </si>
  <si>
    <t>Big Timber Ipa</t>
  </si>
  <si>
    <t>805057000108</t>
  </si>
  <si>
    <t>Beer With No Name</t>
  </si>
  <si>
    <t>805057000139</t>
  </si>
  <si>
    <t>Lake Of The Woods Papermaker</t>
  </si>
  <si>
    <t>805057000153</t>
  </si>
  <si>
    <t>Trailer Park Boys Freedom 35</t>
  </si>
  <si>
    <r>
      <t xml:space="preserve">Discontinued by supplier. New SKU will be: LCBO# </t>
    </r>
    <r>
      <rPr>
        <b/>
        <sz val="11"/>
        <color theme="1"/>
        <rFont val="Calibri"/>
        <family val="2"/>
        <scheme val="minor"/>
      </rPr>
      <t>14136 "Coors Original 473ml Can";</t>
    </r>
    <r>
      <rPr>
        <sz val="11"/>
        <color theme="1"/>
        <rFont val="Calibri"/>
        <family val="2"/>
        <scheme val="minor"/>
      </rPr>
      <t xml:space="preserve"> supplying source will be</t>
    </r>
    <r>
      <rPr>
        <b/>
        <sz val="11"/>
        <color theme="1"/>
        <rFont val="Calibri"/>
        <family val="2"/>
        <scheme val="minor"/>
      </rPr>
      <t xml:space="preserve"> 0002 - TBS; NEW UPC =  056327014336, NEW SCC = 40056327014334. </t>
    </r>
    <r>
      <rPr>
        <b/>
        <strike/>
        <sz val="11"/>
        <color theme="1"/>
        <rFont val="Calibri"/>
        <family val="2"/>
        <scheme val="minor"/>
      </rPr>
      <t xml:space="preserve">Effective to order FEBRUARY 15, 2020  </t>
    </r>
    <r>
      <rPr>
        <b/>
        <sz val="11"/>
        <color theme="1"/>
        <rFont val="Calibri"/>
        <family val="2"/>
        <scheme val="minor"/>
      </rPr>
      <t xml:space="preserve"> *NEW EFFECTIVE TO ORDER DATE : FEBRUARY 11, 2020*</t>
    </r>
  </si>
  <si>
    <r>
      <t xml:space="preserve">Discontinued by supplier. New SKU will be: LCBO# </t>
    </r>
    <r>
      <rPr>
        <b/>
        <sz val="11"/>
        <color theme="1"/>
        <rFont val="Calibri"/>
        <family val="2"/>
        <scheme val="minor"/>
      </rPr>
      <t>14135 "Coors Original 6x355ml Can";</t>
    </r>
    <r>
      <rPr>
        <sz val="11"/>
        <color theme="1"/>
        <rFont val="Calibri"/>
        <family val="2"/>
        <scheme val="minor"/>
      </rPr>
      <t xml:space="preserve"> supplying source will be</t>
    </r>
    <r>
      <rPr>
        <b/>
        <sz val="11"/>
        <color theme="1"/>
        <rFont val="Calibri"/>
        <family val="2"/>
        <scheme val="minor"/>
      </rPr>
      <t xml:space="preserve"> 0002 - TBS; NEW UPC =  056327014329;  NEW SCC = 10056327014326. </t>
    </r>
    <r>
      <rPr>
        <b/>
        <strike/>
        <sz val="11"/>
        <color theme="1"/>
        <rFont val="Calibri"/>
        <family val="2"/>
        <scheme val="minor"/>
      </rPr>
      <t>Effective to order FEBRUARY 15, 2020</t>
    </r>
    <r>
      <rPr>
        <b/>
        <sz val="11"/>
        <color theme="1"/>
        <rFont val="Calibri"/>
        <family val="2"/>
        <scheme val="minor"/>
      </rPr>
      <t xml:space="preserve">   *NEW EFFECTIVE TO ORDER DATE : JANUARY 28 , 2020*</t>
    </r>
  </si>
  <si>
    <t>No Boats On Sunday Cranberry Cider</t>
  </si>
  <si>
    <t xml:space="preserve">Epica Red </t>
  </si>
  <si>
    <t>Yalumba Coonawarra Cab</t>
  </si>
  <si>
    <t>Temporarily  discontinued - Supply issues (estimated back in stock mid March)</t>
  </si>
  <si>
    <t>Kittling Ridge Vidal Icewine VQA</t>
  </si>
  <si>
    <t>Temporarily  discontinued - Supply issues (estimated back in stock mid February)</t>
  </si>
  <si>
    <t>Henry of Pelham Pinot Noir VQA</t>
  </si>
  <si>
    <t>Temporarily  discontinued - Supply issues (estimated back in stock end March)</t>
  </si>
  <si>
    <t>Wayne Gretzky Pinot Grigio VQA</t>
  </si>
  <si>
    <t xml:space="preserve">Pelee Island Chardonnay Reserve VQA </t>
  </si>
  <si>
    <t>Double Trouble Pecan Porter</t>
  </si>
  <si>
    <t>Yanjing Beer+</t>
  </si>
  <si>
    <r>
      <t xml:space="preserve">Discontinued by supplier. New SKU will be: LCBO# </t>
    </r>
    <r>
      <rPr>
        <b/>
        <sz val="11"/>
        <color theme="1"/>
        <rFont val="Calibri"/>
        <family val="2"/>
        <scheme val="minor"/>
      </rPr>
      <t>14400 "Coors Original 6x473ml Can";</t>
    </r>
    <r>
      <rPr>
        <sz val="11"/>
        <color theme="1"/>
        <rFont val="Calibri"/>
        <family val="2"/>
        <scheme val="minor"/>
      </rPr>
      <t xml:space="preserve"> supplying source will be</t>
    </r>
    <r>
      <rPr>
        <b/>
        <sz val="11"/>
        <color theme="1"/>
        <rFont val="Calibri"/>
        <family val="2"/>
        <scheme val="minor"/>
      </rPr>
      <t xml:space="preserve"> 0002 - TBS; NEW UPC =  056327014626;  NEW SCC = 10056327014333. </t>
    </r>
    <r>
      <rPr>
        <b/>
        <strike/>
        <sz val="11"/>
        <color theme="1"/>
        <rFont val="Calibri"/>
        <family val="2"/>
        <scheme val="minor"/>
      </rPr>
      <t>Effective to order FEBRUARY 15, 2020</t>
    </r>
    <r>
      <rPr>
        <b/>
        <sz val="11"/>
        <color theme="1"/>
        <rFont val="Calibri"/>
        <family val="2"/>
        <scheme val="minor"/>
      </rPr>
      <t xml:space="preserve">   </t>
    </r>
    <r>
      <rPr>
        <b/>
        <strike/>
        <sz val="11"/>
        <color theme="1"/>
        <rFont val="Calibri"/>
        <family val="2"/>
        <scheme val="minor"/>
      </rPr>
      <t xml:space="preserve">*NEW EFFECTIVE TO ORDER DATE : FEBRUARY 11, 2020* </t>
    </r>
    <r>
      <rPr>
        <b/>
        <sz val="11"/>
        <color theme="1"/>
        <rFont val="Calibri"/>
        <family val="2"/>
        <scheme val="minor"/>
      </rPr>
      <t xml:space="preserve">*2ND AMENDMENT: EFFECTIVE TO ORDER DATE : FEBRUARY 5, 2020, discuntinued immediately* </t>
    </r>
  </si>
  <si>
    <t>Louis Bernard Cotes du Rhone White</t>
  </si>
  <si>
    <r>
      <t xml:space="preserve">UPC &amp; SCC Code updating: OLD UPC = 604174000974; </t>
    </r>
    <r>
      <rPr>
        <b/>
        <sz val="11"/>
        <color theme="1"/>
        <rFont val="Calibri"/>
        <family val="2"/>
        <scheme val="minor"/>
      </rPr>
      <t>NEW UPC = 20604174000978</t>
    </r>
    <r>
      <rPr>
        <sz val="11"/>
        <color theme="1"/>
        <rFont val="Calibri"/>
        <family val="2"/>
        <scheme val="minor"/>
      </rPr>
      <t xml:space="preserve"> | OLD SCC = 20604174000978;  </t>
    </r>
    <r>
      <rPr>
        <b/>
        <sz val="11"/>
        <color theme="1"/>
        <rFont val="Calibri"/>
        <family val="2"/>
        <scheme val="minor"/>
      </rPr>
      <t>NEW SCC = 13174360074996</t>
    </r>
  </si>
  <si>
    <t>Waterloo Grapefruit Radler.</t>
  </si>
  <si>
    <r>
      <t xml:space="preserve">UPC Code updating: OLD UPC  = 620707101741| </t>
    </r>
    <r>
      <rPr>
        <b/>
        <sz val="11"/>
        <color theme="1"/>
        <rFont val="Calibri"/>
        <family val="2"/>
        <scheme val="minor"/>
      </rPr>
      <t>NEW UPC = 620707111740</t>
    </r>
    <r>
      <rPr>
        <sz val="11"/>
        <color theme="1"/>
        <rFont val="Calibri"/>
        <family val="2"/>
        <scheme val="minor"/>
      </rPr>
      <t xml:space="preserve"> (no SCC change) </t>
    </r>
  </si>
  <si>
    <r>
      <t xml:space="preserve">UPC &amp; SCC Code updating: OLD UPC = 874537022145; </t>
    </r>
    <r>
      <rPr>
        <b/>
        <sz val="11"/>
        <color theme="1"/>
        <rFont val="Calibri"/>
        <family val="2"/>
        <scheme val="minor"/>
      </rPr>
      <t>NEW UPC = 874537000075</t>
    </r>
    <r>
      <rPr>
        <sz val="11"/>
        <color theme="1"/>
        <rFont val="Calibri"/>
        <family val="2"/>
        <scheme val="minor"/>
      </rPr>
      <t xml:space="preserve"> | OLD SCC = 10874537022142;  </t>
    </r>
    <r>
      <rPr>
        <b/>
        <sz val="11"/>
        <color theme="1"/>
        <rFont val="Calibri"/>
        <family val="2"/>
        <scheme val="minor"/>
      </rPr>
      <t>NEW SCC = 10874537000072</t>
    </r>
  </si>
  <si>
    <t xml:space="preserve">20 Bees Sauvignon Blanc VQA </t>
  </si>
  <si>
    <t>Torres Altos Ibericos Crianza Rioja Do</t>
  </si>
  <si>
    <t xml:space="preserve">Loosen Up Riesling, Rheinhessen </t>
  </si>
  <si>
    <t>Grenadier Brewing Co. Lager</t>
  </si>
  <si>
    <r>
      <t>Supplying source changing from Producer:  2876 - GRENADIER BREWING COMPANY LTD. t</t>
    </r>
    <r>
      <rPr>
        <b/>
        <sz val="11"/>
        <color theme="1"/>
        <rFont val="Calibri"/>
        <family val="2"/>
        <scheme val="minor"/>
      </rPr>
      <t xml:space="preserve">o 0001 - LCBO  </t>
    </r>
  </si>
  <si>
    <t>Clocktower Red</t>
  </si>
  <si>
    <t>Clocktower Brewing Kolsch Can</t>
  </si>
  <si>
    <t>El Camino Mexican Lager</t>
  </si>
  <si>
    <t>Flying Monkeys Antigravity Lager</t>
  </si>
  <si>
    <t>Propeller Esb</t>
  </si>
  <si>
    <t>Oskar Blues Dales Pale Ale</t>
  </si>
  <si>
    <t>Ardiel Dry Apple Cider</t>
  </si>
  <si>
    <t>No stock to supply grocers due to faulty product - returning February 25th</t>
  </si>
  <si>
    <t>Unibroue Ephemere Blackcurrant</t>
  </si>
  <si>
    <t>Sleeman Golden Festbier</t>
  </si>
  <si>
    <t>Purple Skull Brewing - Kolsch Style</t>
  </si>
  <si>
    <t>Temporarily  discontinued - Supply issues (estimated back in Spring)</t>
  </si>
  <si>
    <r>
      <rPr>
        <strike/>
        <sz val="11"/>
        <color theme="1"/>
        <rFont val="Calibri"/>
        <family val="2"/>
        <scheme val="minor"/>
      </rPr>
      <t xml:space="preserve">UPC &amp; SCC Code updating: OLD UPC = 400003987863; </t>
    </r>
    <r>
      <rPr>
        <b/>
        <strike/>
        <sz val="11"/>
        <color theme="1"/>
        <rFont val="Calibri"/>
        <family val="2"/>
        <scheme val="minor"/>
      </rPr>
      <t>NEW UPC = 779373398761</t>
    </r>
    <r>
      <rPr>
        <strike/>
        <sz val="11"/>
        <color theme="1"/>
        <rFont val="Calibri"/>
        <family val="2"/>
        <scheme val="minor"/>
      </rPr>
      <t xml:space="preserve"> | OLD SCC = 10400003987860;  </t>
    </r>
    <r>
      <rPr>
        <b/>
        <strike/>
        <sz val="11"/>
        <color theme="1"/>
        <rFont val="Calibri"/>
        <family val="2"/>
        <scheme val="minor"/>
      </rPr>
      <t xml:space="preserve">NEW SCC = 10779373398768 --- </t>
    </r>
    <r>
      <rPr>
        <b/>
        <sz val="11"/>
        <color theme="1"/>
        <rFont val="Calibri"/>
        <family val="2"/>
        <scheme val="minor"/>
      </rPr>
      <t>CHANGE CANCELLED, CODES WILL REAMIN THE SAME UPC =  400003987863; SCC = 10400003987860</t>
    </r>
  </si>
  <si>
    <t>Welly Mix Volume 7</t>
  </si>
  <si>
    <t>Wellington Chocolate Milk Stout</t>
  </si>
  <si>
    <t>Wellington Kickin' Back Session Ipa</t>
  </si>
  <si>
    <t>Wellington Helles Lager +</t>
  </si>
  <si>
    <t xml:space="preserve">VILLA ANNABERTA JAIRO ROSSO VENEZIE IGT    </t>
  </si>
  <si>
    <t xml:space="preserve">8032825451486 </t>
  </si>
  <si>
    <t xml:space="preserve">VINETTI DE FIORINI CHIANTI SUPERIORE DOCG </t>
  </si>
  <si>
    <t>8053264900137</t>
  </si>
  <si>
    <t>DEINHARD RIESLING MOSCATO, WURTTEMBERG</t>
  </si>
  <si>
    <t>4003310011564</t>
  </si>
  <si>
    <t>Open Riesling-Gewurztraminer VQA Bag-in-Box</t>
  </si>
  <si>
    <t xml:space="preserve">3000mL </t>
  </si>
  <si>
    <t xml:space="preserve">The Velvet Devil Merlot </t>
  </si>
  <si>
    <t xml:space="preserve">Kung Fu Girl Riesling </t>
  </si>
  <si>
    <t>Calvet Reserve Des Remparts Saint Emilion Aoc</t>
  </si>
  <si>
    <t>Ghost Pines Chardonnay Winemaker's Blend</t>
  </si>
  <si>
    <t>Louis M. Martini Cabernet Sauvignon Sonoma</t>
  </si>
  <si>
    <t>Ghost Pines Merlot</t>
  </si>
  <si>
    <t>Big House Cardinal Zin</t>
  </si>
  <si>
    <t>Big House The Birdman Pinot Grigio</t>
  </si>
  <si>
    <t>Mission Hills Five Vineyards Pinot Noir VQA</t>
  </si>
  <si>
    <t>Mission Hills Five Vineyards Pinot Blanc VQA</t>
  </si>
  <si>
    <t>Mission Hills Five Vineyards Cabernet Merlot VQA</t>
  </si>
  <si>
    <t>Sam Adams Rebel Ipa+</t>
  </si>
  <si>
    <t>No.99 Rye Lager - Wayne Gretzky Craft Brewing</t>
  </si>
  <si>
    <t>Magnotta Brewery Backyard Light Lager</t>
  </si>
  <si>
    <r>
      <t xml:space="preserve">Supplying source changing from 0001 - LCBO  to </t>
    </r>
    <r>
      <rPr>
        <b/>
        <sz val="11"/>
        <color theme="1"/>
        <rFont val="Calibri"/>
        <family val="2"/>
        <scheme val="minor"/>
      </rPr>
      <t>0002 - TBS</t>
    </r>
  </si>
  <si>
    <r>
      <t>Supplying source changing from 0001 - LCBO  to Producer -</t>
    </r>
    <r>
      <rPr>
        <b/>
        <sz val="11"/>
        <color theme="1"/>
        <rFont val="Calibri"/>
        <family val="2"/>
        <scheme val="minor"/>
      </rPr>
      <t xml:space="preserve"> 0270 - MAGNOTTA BREWERY (VAUGHAN) LTD.</t>
    </r>
  </si>
  <si>
    <t>Innocente Brewing Conscience Ipa</t>
  </si>
  <si>
    <t>Refined Fool Troll Cream</t>
  </si>
  <si>
    <t>2600 mL</t>
  </si>
  <si>
    <t>Conspiracy Bianco 2018 VQA</t>
  </si>
  <si>
    <t>Radio Boka Tempranillo BIB</t>
  </si>
  <si>
    <t>Product Description Name Change (formerly Enchanted White) No change to UPC/SCC codes</t>
  </si>
  <si>
    <t>Tawse Quarry Road Pinot Noir VQA</t>
  </si>
  <si>
    <r>
      <t xml:space="preserve">UPC &amp; SCC Code updating: OLD UPC = 670459009642; </t>
    </r>
    <r>
      <rPr>
        <b/>
        <sz val="11"/>
        <color theme="1"/>
        <rFont val="Calibri"/>
        <family val="2"/>
        <scheme val="minor"/>
      </rPr>
      <t>NEW UPC = 670459010181</t>
    </r>
    <r>
      <rPr>
        <sz val="11"/>
        <color theme="1"/>
        <rFont val="Calibri"/>
        <family val="2"/>
        <scheme val="minor"/>
      </rPr>
      <t xml:space="preserve"> | OLD SCC = 10670459009649;  </t>
    </r>
    <r>
      <rPr>
        <b/>
        <sz val="11"/>
        <color theme="1"/>
        <rFont val="Calibri"/>
        <family val="2"/>
        <scheme val="minor"/>
      </rPr>
      <t>NEW SCC = 10670459010188</t>
    </r>
  </si>
  <si>
    <r>
      <t xml:space="preserve">SCC Code updating:  OLD SCC = 08002062010234;  </t>
    </r>
    <r>
      <rPr>
        <b/>
        <sz val="11"/>
        <color theme="1"/>
        <rFont val="Calibri"/>
        <family val="2"/>
        <scheme val="minor"/>
      </rPr>
      <t>NEW SCC = 08002062010692</t>
    </r>
    <r>
      <rPr>
        <sz val="11"/>
        <color theme="1"/>
        <rFont val="Calibri"/>
        <family val="2"/>
        <scheme val="minor"/>
      </rPr>
      <t xml:space="preserve"> (no UPC change)</t>
    </r>
  </si>
  <si>
    <t>Masi Modello Merlot Trevenezie IGT</t>
  </si>
  <si>
    <t>Masi Costasera Amarone Classico</t>
  </si>
  <si>
    <r>
      <t xml:space="preserve">SCC Code updating:  OLD SCC = 08002062010241;  </t>
    </r>
    <r>
      <rPr>
        <b/>
        <sz val="11"/>
        <color theme="1"/>
        <rFont val="Calibri"/>
        <family val="2"/>
        <scheme val="minor"/>
      </rPr>
      <t>NEW SCC = 08002062010609</t>
    </r>
    <r>
      <rPr>
        <sz val="11"/>
        <color theme="1"/>
        <rFont val="Calibri"/>
        <family val="2"/>
        <scheme val="minor"/>
      </rPr>
      <t xml:space="preserve"> (no UPC change)</t>
    </r>
  </si>
  <si>
    <t>COOPERS HAWK CABERNET MERLOT RESERVE VQA DDP</t>
  </si>
  <si>
    <t xml:space="preserve">853698001169 </t>
  </si>
  <si>
    <t>COOPER'S HAWK TOUCHE VQA DDp</t>
  </si>
  <si>
    <t xml:space="preserve">853698001060 </t>
  </si>
  <si>
    <r>
      <t>Supplying source changing from 0001 - LCBO  to Producer -</t>
    </r>
    <r>
      <rPr>
        <b/>
        <sz val="11"/>
        <color theme="1"/>
        <rFont val="Calibri"/>
        <family val="2"/>
        <scheme val="minor"/>
      </rPr>
      <t xml:space="preserve"> 6032-COOPER'S HAWK VINEYARDS</t>
    </r>
  </si>
  <si>
    <t>Super Bock 6 Pk-B</t>
  </si>
  <si>
    <r>
      <t xml:space="preserve">SCC Code Updated: OLD SCC  = 10701467114305 </t>
    </r>
    <r>
      <rPr>
        <b/>
        <sz val="11"/>
        <color theme="1"/>
        <rFont val="Calibri"/>
        <family val="2"/>
        <scheme val="minor"/>
      </rPr>
      <t>NEW SCC = 701467114308</t>
    </r>
  </si>
  <si>
    <t>Busch Light 6pk-C</t>
  </si>
  <si>
    <t>Busch 6 Pk-Tc</t>
  </si>
  <si>
    <t>Busch Ice</t>
  </si>
  <si>
    <t>Fickle Mistress Dry-Hopped Sour</t>
  </si>
  <si>
    <t>Sawdust City Midlands Butter Tart Ale</t>
  </si>
  <si>
    <t>Sawdust City Ol' Woody Alt 473ml</t>
  </si>
  <si>
    <t>Anchor Steam Beer +</t>
  </si>
  <si>
    <t>Hacker Pschorr Kellerbier +</t>
  </si>
  <si>
    <t>Somersby Apple Cider</t>
  </si>
  <si>
    <t>Somersby Blackberry Cider</t>
  </si>
  <si>
    <t>Somersby Pear Cider</t>
  </si>
  <si>
    <t>Somersby Red Rhubarb 1x500ml Cans</t>
  </si>
  <si>
    <r>
      <t>Discontinued by supplier.</t>
    </r>
    <r>
      <rPr>
        <b/>
        <sz val="11"/>
        <color theme="1"/>
        <rFont val="Calibri"/>
        <family val="2"/>
        <scheme val="minor"/>
      </rPr>
      <t xml:space="preserve"> New SKU will be: LCBO# 15563 "SOMERSBY APPLE CIDER 473ML"; NEW UPC = 675325010005; NEW SCC = 06753250100054</t>
    </r>
  </si>
  <si>
    <r>
      <t>Discontinued by supplier.</t>
    </r>
    <r>
      <rPr>
        <b/>
        <sz val="11"/>
        <color theme="1"/>
        <rFont val="Calibri"/>
        <family val="2"/>
        <scheme val="minor"/>
      </rPr>
      <t xml:space="preserve"> New SKU will be: LCBO# 15564 "SOMERSBY BLACKBERRY CIDER 473ML"; NEW UPC = 675325010104; NEW SCC = 06753250101044</t>
    </r>
  </si>
  <si>
    <r>
      <t xml:space="preserve">Discontinued by supplier. </t>
    </r>
    <r>
      <rPr>
        <b/>
        <sz val="11"/>
        <color theme="1"/>
        <rFont val="Calibri"/>
        <family val="2"/>
        <scheme val="minor"/>
      </rPr>
      <t>New SKU will be: LCBO# 15860  "SOMERSBY PEAR CIDER 473ML"; NEW UPC = 675325010142; NEW SCC = 06753250101426</t>
    </r>
  </si>
  <si>
    <r>
      <t>Discontinued by supplier.</t>
    </r>
    <r>
      <rPr>
        <b/>
        <sz val="11"/>
        <color theme="1"/>
        <rFont val="Calibri"/>
        <family val="2"/>
        <scheme val="minor"/>
      </rPr>
      <t xml:space="preserve"> New SKU will be: LCBO# 16003 "SOMERSBY RED RHUBARB CIDER 473ML"; NEW UPC = 675325010180; NEW SCC = 06753250101808</t>
    </r>
  </si>
  <si>
    <r>
      <t>Discontinued by supplier.</t>
    </r>
    <r>
      <rPr>
        <b/>
        <sz val="11"/>
        <color theme="1"/>
        <rFont val="Calibri"/>
        <family val="2"/>
        <scheme val="minor"/>
      </rPr>
      <t xml:space="preserve"> New SKU will be: LCBO# 16004  "SOMERSBY WATERMELON CIDER 473ML"; NEW UPC = 675325010227; NEW SCC = 06753250102270</t>
    </r>
  </si>
  <si>
    <t>Tzafona Cabernet Sauvignon (K) VQA</t>
  </si>
  <si>
    <r>
      <t xml:space="preserve">UPC &amp; SCC Code updating: OLD UPC = 874537453147; </t>
    </r>
    <r>
      <rPr>
        <b/>
        <sz val="11"/>
        <color theme="1"/>
        <rFont val="Calibri"/>
        <family val="2"/>
        <scheme val="minor"/>
      </rPr>
      <t>NEW UPC = 874537001713</t>
    </r>
    <r>
      <rPr>
        <sz val="11"/>
        <color theme="1"/>
        <rFont val="Calibri"/>
        <family val="2"/>
        <scheme val="minor"/>
      </rPr>
      <t xml:space="preserve"> | OLD SCC = 10874537453144;  </t>
    </r>
    <r>
      <rPr>
        <b/>
        <sz val="11"/>
        <color theme="1"/>
        <rFont val="Calibri"/>
        <family val="2"/>
        <scheme val="minor"/>
      </rPr>
      <t>NEW SCC = 10874537001710</t>
    </r>
  </si>
  <si>
    <t>NITA BEER COMPANY GINGER OF SUSSEX</t>
  </si>
  <si>
    <t>Product Description Name Change (formerly Nita Beer Company Lone Wolf Mcale 473ml C) No change to UPC/SCC codes</t>
  </si>
  <si>
    <r>
      <t xml:space="preserve">Discontinued by supplier. New SKU will be LCBO# 15253. New UPC/SCC TBD </t>
    </r>
    <r>
      <rPr>
        <b/>
        <sz val="11"/>
        <color theme="1"/>
        <rFont val="Calibri"/>
        <family val="2"/>
        <scheme val="minor"/>
      </rPr>
      <t>** NEW UPC = 062067380648 ; NEW SCC = 70062067380647**</t>
    </r>
  </si>
  <si>
    <t>Big Rig Salute 1179</t>
  </si>
  <si>
    <t>Old Milwaukee  6pkcan+</t>
  </si>
  <si>
    <t>Old Milwaukee Ice 6 Pk-Tc (W)</t>
  </si>
  <si>
    <r>
      <t xml:space="preserve">Discontinued by supplier. New SKU will be LCBO# 15402 . </t>
    </r>
    <r>
      <rPr>
        <b/>
        <sz val="11"/>
        <color theme="1"/>
        <rFont val="Calibri"/>
        <family val="2"/>
        <scheme val="minor"/>
      </rPr>
      <t>NEW UPC = 056910401345  ; NEW SCC = 20056910401349  supplying source will be 0002 - TBS</t>
    </r>
  </si>
  <si>
    <r>
      <t xml:space="preserve">Discontinued by supplier. New SKU will be LCBO# 15400.  </t>
    </r>
    <r>
      <rPr>
        <b/>
        <sz val="11"/>
        <color theme="1"/>
        <rFont val="Calibri"/>
        <family val="2"/>
        <scheme val="minor"/>
      </rPr>
      <t>NEW UPC = 056910402540 ; NEW SCC = 20056910402544  supplying source will be 0002 - TBS</t>
    </r>
  </si>
  <si>
    <r>
      <t xml:space="preserve">Discontinued by supplier. New SKU will be LCBO# 15252. New UPC/SCC TBD </t>
    </r>
    <r>
      <rPr>
        <b/>
        <sz val="11"/>
        <color theme="1"/>
        <rFont val="Calibri"/>
        <family val="2"/>
        <scheme val="minor"/>
      </rPr>
      <t>** NEW UPC = 062067380617 ; NEW SCC = 70062067380616**</t>
    </r>
  </si>
  <si>
    <r>
      <t xml:space="preserve">Discontinued by supplier. New SKU will be LCBO# 15256. New UPC/SCC TBD </t>
    </r>
    <r>
      <rPr>
        <b/>
        <sz val="11"/>
        <color theme="1"/>
        <rFont val="Calibri"/>
        <family val="2"/>
        <scheme val="minor"/>
      </rPr>
      <t>** NEW UPC = 062067380631; NEW SCC = 70062067380630**</t>
    </r>
  </si>
  <si>
    <t>Tawse Sketches of Niagara Riesling VQA</t>
  </si>
  <si>
    <r>
      <t xml:space="preserve">UPC &amp; SCC Code updating: OLD UPC = 670459008577; </t>
    </r>
    <r>
      <rPr>
        <b/>
        <sz val="11"/>
        <color theme="1"/>
        <rFont val="Calibri"/>
        <family val="2"/>
        <scheme val="minor"/>
      </rPr>
      <t>NEW UPC = 670459009444</t>
    </r>
    <r>
      <rPr>
        <sz val="11"/>
        <color theme="1"/>
        <rFont val="Calibri"/>
        <family val="2"/>
        <scheme val="minor"/>
      </rPr>
      <t xml:space="preserve"> | OLD SCC = 10670459008574;  </t>
    </r>
    <r>
      <rPr>
        <b/>
        <sz val="11"/>
        <color theme="1"/>
        <rFont val="Calibri"/>
        <family val="2"/>
        <scheme val="minor"/>
      </rPr>
      <t>NEW SCC = 10670459009441</t>
    </r>
  </si>
  <si>
    <t>Cowbell Shindig  Huron County Lager</t>
  </si>
  <si>
    <t>Collective Arts Lunch Money</t>
  </si>
  <si>
    <t>Beau's Winter Mix Pack</t>
  </si>
  <si>
    <t>Frisky Pete's English Pale Ale</t>
  </si>
  <si>
    <t>Beauty &amp; The Belgian</t>
  </si>
  <si>
    <t>Fickle Mistress dry-hopped sour</t>
  </si>
  <si>
    <t>Carling 6-Pk-Can+</t>
  </si>
  <si>
    <r>
      <t xml:space="preserve">Temporary UPC &amp; SCC Code updating: OLD UPC = 056327004146 ; </t>
    </r>
    <r>
      <rPr>
        <b/>
        <sz val="11"/>
        <color theme="1"/>
        <rFont val="Calibri"/>
        <family val="2"/>
        <scheme val="minor"/>
      </rPr>
      <t>NEW UPC = 056327016224</t>
    </r>
    <r>
      <rPr>
        <sz val="11"/>
        <color theme="1"/>
        <rFont val="Calibri"/>
        <family val="2"/>
        <scheme val="minor"/>
      </rPr>
      <t xml:space="preserve">  | OLD SCC = 40056327004144; </t>
    </r>
    <r>
      <rPr>
        <b/>
        <sz val="11"/>
        <color theme="1"/>
        <rFont val="Calibri"/>
        <family val="2"/>
        <scheme val="minor"/>
      </rPr>
      <t>NEW SCC = 10056327016221</t>
    </r>
  </si>
  <si>
    <t>Marius Rouge Pays D'oc</t>
  </si>
  <si>
    <r>
      <t xml:space="preserve">UPC &amp; SCC Code updating: OLD UPC = 3391180007079; </t>
    </r>
    <r>
      <rPr>
        <b/>
        <sz val="11"/>
        <color theme="1"/>
        <rFont val="Calibri"/>
        <family val="2"/>
        <scheme val="minor"/>
      </rPr>
      <t>NEW UPC = 3391180010604</t>
    </r>
    <r>
      <rPr>
        <sz val="11"/>
        <color theme="1"/>
        <rFont val="Calibri"/>
        <family val="2"/>
        <scheme val="minor"/>
      </rPr>
      <t xml:space="preserve"> | OLD SCC = 03391180007093;  </t>
    </r>
    <r>
      <rPr>
        <b/>
        <sz val="11"/>
        <color theme="1"/>
        <rFont val="Calibri"/>
        <family val="2"/>
        <scheme val="minor"/>
      </rPr>
      <t>NEW SCC = 03391180010628</t>
    </r>
  </si>
  <si>
    <t>Masi Campofiorin IGT</t>
  </si>
  <si>
    <t>Masi Masianco Pinot Grigio</t>
  </si>
  <si>
    <t>8002062001744 </t>
  </si>
  <si>
    <r>
      <t xml:space="preserve">SCC Code Updated: OLD SCC  = 08002062010517 </t>
    </r>
    <r>
      <rPr>
        <b/>
        <sz val="11"/>
        <color theme="1"/>
        <rFont val="Calibri"/>
        <family val="2"/>
        <scheme val="minor"/>
      </rPr>
      <t xml:space="preserve">NEW SCC = 08002062010821 </t>
    </r>
  </si>
  <si>
    <r>
      <t xml:space="preserve">SCC Code Updated: OLD SCC  = 08002062010661 </t>
    </r>
    <r>
      <rPr>
        <b/>
        <sz val="11"/>
        <color theme="1"/>
        <rFont val="Calibri"/>
        <family val="2"/>
        <scheme val="minor"/>
      </rPr>
      <t>NEW SCC = 08002062010920</t>
    </r>
  </si>
  <si>
    <r>
      <t xml:space="preserve">SCC Code Updated: OLD SCC  = 08002062010647 </t>
    </r>
    <r>
      <rPr>
        <b/>
        <sz val="11"/>
        <color theme="1"/>
        <rFont val="Calibri"/>
        <family val="2"/>
        <scheme val="minor"/>
      </rPr>
      <t>NEW SCC = 08002062010913</t>
    </r>
  </si>
  <si>
    <t>Temporarily Discontinued by Supplier</t>
  </si>
  <si>
    <t>Pommies Dry Cider 4 Pk-B</t>
  </si>
  <si>
    <t>Mill St. Brewery West Coast Style Ipa</t>
  </si>
  <si>
    <t>Mill St Summer 2017 Mix Pack+</t>
  </si>
  <si>
    <t>2102 mL</t>
  </si>
  <si>
    <t>Mill St Ensign</t>
  </si>
  <si>
    <t>Mill St Kombucha</t>
  </si>
  <si>
    <t>Mill Street Rhuby Cove Cream Ale</t>
  </si>
  <si>
    <t>Mill Street Stock Ale 6 Pk-B</t>
  </si>
  <si>
    <t>Mill Street Coffee Porter 6 Pk-B</t>
  </si>
  <si>
    <t>Mill Street Belgian Wit 6pk-B</t>
  </si>
  <si>
    <t>Brickworks Cider Mixed Pack</t>
  </si>
  <si>
    <r>
      <t xml:space="preserve">SCC Code Updated: OLD SCC  =80625640135538 </t>
    </r>
    <r>
      <rPr>
        <b/>
        <sz val="11"/>
        <color theme="1"/>
        <rFont val="Calibri"/>
        <family val="2"/>
        <scheme val="minor"/>
      </rPr>
      <t>NEW SCC = 10625640135539</t>
    </r>
  </si>
  <si>
    <t>Loon Lager</t>
  </si>
  <si>
    <t>Tawse Grower’s Blend Cabernet Franc VQA</t>
  </si>
  <si>
    <r>
      <t xml:space="preserve">UPC &amp; SCC Code updating: OLD UPC = 670459008898; </t>
    </r>
    <r>
      <rPr>
        <b/>
        <sz val="11"/>
        <color theme="1"/>
        <rFont val="Calibri"/>
        <family val="2"/>
        <scheme val="minor"/>
      </rPr>
      <t>NEW UPC = 670459009994</t>
    </r>
    <r>
      <rPr>
        <sz val="11"/>
        <color theme="1"/>
        <rFont val="Calibri"/>
        <family val="2"/>
        <scheme val="minor"/>
      </rPr>
      <t xml:space="preserve"> | OLD SCC = 10670459008895;  </t>
    </r>
    <r>
      <rPr>
        <b/>
        <sz val="11"/>
        <color theme="1"/>
        <rFont val="Calibri"/>
        <family val="2"/>
        <scheme val="minor"/>
      </rPr>
      <t>NEW SCC = 10670459009991</t>
    </r>
  </si>
  <si>
    <t>Collective Arts Local Press Apple Cider</t>
  </si>
  <si>
    <r>
      <t xml:space="preserve">UPC Code updating:  OLD UPC = 63657039502;  </t>
    </r>
    <r>
      <rPr>
        <b/>
        <sz val="11"/>
        <color theme="1"/>
        <rFont val="Calibri"/>
        <family val="2"/>
        <scheme val="minor"/>
      </rPr>
      <t>NEW SCC = 063657038024</t>
    </r>
    <r>
      <rPr>
        <sz val="11"/>
        <color theme="1"/>
        <rFont val="Calibri"/>
        <family val="2"/>
        <scheme val="minor"/>
      </rPr>
      <t xml:space="preserve"> (no SCC change)</t>
    </r>
  </si>
  <si>
    <t>Bodacious Moscato</t>
  </si>
  <si>
    <t>Bulwark Cider Blush</t>
  </si>
  <si>
    <r>
      <t xml:space="preserve">Supplying source changing from 2651 - MUWIN ESTATE WINES LTD to  </t>
    </r>
    <r>
      <rPr>
        <b/>
        <sz val="11"/>
        <color theme="1"/>
        <rFont val="Calibri"/>
        <family val="2"/>
        <scheme val="minor"/>
      </rPr>
      <t xml:space="preserve">0001 - LCBO  </t>
    </r>
  </si>
  <si>
    <t>Schofferhofer Grapefruit Radler +</t>
  </si>
  <si>
    <r>
      <t xml:space="preserve">UPC &amp; SCC Code updating: OLD UPC = 837042001364; </t>
    </r>
    <r>
      <rPr>
        <b/>
        <sz val="11"/>
        <color theme="1"/>
        <rFont val="Calibri"/>
        <family val="2"/>
        <scheme val="minor"/>
      </rPr>
      <t>NEW UPC = 837042001371</t>
    </r>
    <r>
      <rPr>
        <sz val="11"/>
        <color theme="1"/>
        <rFont val="Calibri"/>
        <family val="2"/>
        <scheme val="minor"/>
      </rPr>
      <t xml:space="preserve"> | OLD SCC = 80837042001360;  </t>
    </r>
    <r>
      <rPr>
        <b/>
        <sz val="11"/>
        <color theme="1"/>
        <rFont val="Calibri"/>
        <family val="2"/>
        <scheme val="minor"/>
      </rPr>
      <t>NEW SCC = 80837042001377</t>
    </r>
  </si>
  <si>
    <t>Castello Di Neive Barbaresco DOCG</t>
  </si>
  <si>
    <t>Temporarily out of stock until end of May and to order Wayne Gretzky Merlot #63966 as a substitute</t>
  </si>
  <si>
    <t xml:space="preserve">Wayne Gretzky Cab Merlot VQA </t>
  </si>
  <si>
    <t xml:space="preserve">Eastdell Riesling VQA </t>
  </si>
  <si>
    <r>
      <t xml:space="preserve">UPC &amp; SCC Code updating: OLD UPC = 874537081142; </t>
    </r>
    <r>
      <rPr>
        <b/>
        <sz val="11"/>
        <color theme="1"/>
        <rFont val="Calibri"/>
        <family val="2"/>
        <scheme val="minor"/>
      </rPr>
      <t>NEW UPC = 874537000600</t>
    </r>
    <r>
      <rPr>
        <sz val="11"/>
        <color theme="1"/>
        <rFont val="Calibri"/>
        <family val="2"/>
        <scheme val="minor"/>
      </rPr>
      <t xml:space="preserve"> | OLD SCC = 10874537081149;  </t>
    </r>
    <r>
      <rPr>
        <b/>
        <sz val="11"/>
        <color theme="1"/>
        <rFont val="Calibri"/>
        <family val="2"/>
        <scheme val="minor"/>
      </rPr>
      <t>NEW SCC = 10874537000607</t>
    </r>
  </si>
  <si>
    <t>Sons Of Kent Pilsner</t>
  </si>
  <si>
    <t>Baco Noir Reserve</t>
  </si>
  <si>
    <t>Whitewater Brewing Klr 93</t>
  </si>
  <si>
    <t>Muskoka Winter Survival Pack 2019</t>
  </si>
  <si>
    <t>Muskoka Cream Ale  355x4</t>
  </si>
  <si>
    <t>Muskoka Craft Lager 4x355</t>
  </si>
  <si>
    <t>Molson Fireside Lager</t>
  </si>
  <si>
    <r>
      <t xml:space="preserve">UPC Code updating: OLD UPC  = 087692004066| </t>
    </r>
    <r>
      <rPr>
        <b/>
        <sz val="11"/>
        <color theme="1"/>
        <rFont val="Calibri"/>
        <family val="2"/>
        <scheme val="minor"/>
      </rPr>
      <t>NEW UPC = 087692001355</t>
    </r>
    <r>
      <rPr>
        <sz val="11"/>
        <color theme="1"/>
        <rFont val="Calibri"/>
        <family val="2"/>
        <scheme val="minor"/>
      </rPr>
      <t xml:space="preserve">(no SCC change) </t>
    </r>
  </si>
  <si>
    <t>Collective Arts Prophets &amp; Nomads</t>
  </si>
  <si>
    <t>Abe Erb Brewing Buggywhip Ipa 473 C</t>
  </si>
  <si>
    <t>Lakeview Cellars Riesling Icewine VQA 2016</t>
  </si>
  <si>
    <r>
      <t xml:space="preserve">UPC &amp; SCC Code updating: OLD UPC = 874537151128; </t>
    </r>
    <r>
      <rPr>
        <b/>
        <sz val="11"/>
        <color theme="1"/>
        <rFont val="Calibri"/>
        <family val="2"/>
        <scheme val="minor"/>
      </rPr>
      <t>NEW UPC = 874537001195</t>
    </r>
    <r>
      <rPr>
        <sz val="11"/>
        <color theme="1"/>
        <rFont val="Calibri"/>
        <family val="2"/>
        <scheme val="minor"/>
      </rPr>
      <t xml:space="preserve"> | OLD SCC = 10874537151125;  </t>
    </r>
    <r>
      <rPr>
        <b/>
        <sz val="11"/>
        <color theme="1"/>
        <rFont val="Calibri"/>
        <family val="2"/>
        <scheme val="minor"/>
      </rPr>
      <t>NEW SCC = 10874537001192</t>
    </r>
  </si>
  <si>
    <t>Lakeview Cellars Cabernet Sauvignon VQA</t>
  </si>
  <si>
    <t>0010030</t>
  </si>
  <si>
    <t>Exchange -White Ipa</t>
  </si>
  <si>
    <t>628250784190</t>
  </si>
  <si>
    <t>0013420</t>
  </si>
  <si>
    <t>Exchange Brewery Foreign Exchange Stout</t>
  </si>
  <si>
    <t>628250784268</t>
  </si>
  <si>
    <t>0582684</t>
  </si>
  <si>
    <t>Berliner Weisse</t>
  </si>
  <si>
    <t>627843707004</t>
  </si>
  <si>
    <t>Lost Craft Sirius</t>
  </si>
  <si>
    <r>
      <t xml:space="preserve">UPC &amp; SCC Code updating: OLD UPC = 874537107132; </t>
    </r>
    <r>
      <rPr>
        <b/>
        <sz val="11"/>
        <color theme="1"/>
        <rFont val="Calibri"/>
        <family val="2"/>
        <scheme val="minor"/>
      </rPr>
      <t>NEW UPC = 874537001041</t>
    </r>
    <r>
      <rPr>
        <sz val="11"/>
        <color theme="1"/>
        <rFont val="Calibri"/>
        <family val="2"/>
        <scheme val="minor"/>
      </rPr>
      <t xml:space="preserve"> | OLD SCC = 1087453710713;  </t>
    </r>
    <r>
      <rPr>
        <b/>
        <sz val="11"/>
        <color theme="1"/>
        <rFont val="Calibri"/>
        <family val="2"/>
        <scheme val="minor"/>
      </rPr>
      <t>NEW SCC = 10874537001048</t>
    </r>
  </si>
  <si>
    <t>Twenty Mile Farmhouse Ale</t>
  </si>
  <si>
    <t>Belgian Moon Light Sky</t>
  </si>
  <si>
    <t>Pelee Island Noir Zweigelt Ruggles Run VQA</t>
  </si>
  <si>
    <t>Railway City Brewing - Crew Premium Lager 4 Pack</t>
  </si>
  <si>
    <t>Railway City Ducks Unlimited Lager 6pk C</t>
  </si>
  <si>
    <t>Collective Arts Guava Gose</t>
  </si>
  <si>
    <t>Collective Arts Blackberry Cherry Milkshake Sour</t>
  </si>
  <si>
    <t>Collective Arts Project Ipa No. 11</t>
  </si>
  <si>
    <t>Collective Arts Blueberry Choolate Sour</t>
  </si>
  <si>
    <t>Collective Arts Honey Lavender Cider</t>
  </si>
  <si>
    <t>Collective Arts Heritage Blend Cider</t>
  </si>
  <si>
    <t>Collective Arts Brett Barrel Aged Cider</t>
  </si>
  <si>
    <t>Collective Arts Ipa #7</t>
  </si>
  <si>
    <t>Whitewater Pb Shake</t>
  </si>
  <si>
    <t>Ace Hill Winter Radler</t>
  </si>
  <si>
    <t>Magnotta Small Batch Peach Cider</t>
  </si>
  <si>
    <r>
      <t>Supplying source changing from 4537 - MAGNOTTA WINERY  to Producer -</t>
    </r>
    <r>
      <rPr>
        <b/>
        <sz val="11"/>
        <color theme="1"/>
        <rFont val="Calibri"/>
        <family val="2"/>
        <scheme val="minor"/>
      </rPr>
      <t xml:space="preserve"> 0270 - MAGNOTTA BREWERY (VAUGHAN) LTD.</t>
    </r>
  </si>
  <si>
    <t xml:space="preserve"> Mill Street Vanilla Porter</t>
  </si>
  <si>
    <t>Bobcaygeon Brewing Sunset Golden Ale +</t>
  </si>
  <si>
    <t>Sawdust City Coriolis Effect</t>
  </si>
  <si>
    <t>Tawse Sketches of Niagara Rose</t>
  </si>
  <si>
    <r>
      <t xml:space="preserve">UPC &amp; SCC Code updating: OLD UPC = 670459008621; </t>
    </r>
    <r>
      <rPr>
        <b/>
        <sz val="11"/>
        <color theme="1"/>
        <rFont val="Calibri"/>
        <family val="2"/>
        <scheme val="minor"/>
      </rPr>
      <t xml:space="preserve">NEW UPC = 670459010952 </t>
    </r>
    <r>
      <rPr>
        <sz val="11"/>
        <color theme="1"/>
        <rFont val="Calibri"/>
        <family val="2"/>
        <scheme val="minor"/>
      </rPr>
      <t xml:space="preserve">| OLD SCC = 10670459008628;  </t>
    </r>
    <r>
      <rPr>
        <b/>
        <sz val="11"/>
        <color theme="1"/>
        <rFont val="Calibri"/>
        <family val="2"/>
        <scheme val="minor"/>
      </rPr>
      <t>NEW SCC = 10670459010959</t>
    </r>
  </si>
  <si>
    <t>Creemore Collection Pack Featuring India Pale Ale</t>
  </si>
  <si>
    <t>Kilannan Alt</t>
  </si>
  <si>
    <t>Kilannan Kolsch</t>
  </si>
  <si>
    <t>Lake Of Bays Peach Paradise Milkshake Ipa</t>
  </si>
  <si>
    <t>Lakeview Cabernet Sauvignon VQA</t>
  </si>
  <si>
    <t>Parlez Vous Sauvignon Blanc, IGP Loire</t>
  </si>
  <si>
    <t>Granville Island English Bay Pale Ale</t>
  </si>
  <si>
    <t>Mad &amp; Noisy Lagered Ale (12 X 473 Per Case )</t>
  </si>
  <si>
    <t>Flying Monkeys Tiny Little Wizzards Ipa</t>
  </si>
  <si>
    <t>Flying Monkeys Aurora Heart Chocolate Raspberry</t>
  </si>
  <si>
    <t>Sol 473ml Can</t>
  </si>
  <si>
    <r>
      <t xml:space="preserve">Discontinued by supplier. New SKU will be LCBO# 17140.  </t>
    </r>
    <r>
      <rPr>
        <b/>
        <sz val="11"/>
        <color theme="1"/>
        <rFont val="Calibri"/>
        <family val="2"/>
        <scheme val="minor"/>
      </rPr>
      <t>NEW UPC = 056327016606 ; NEW SCC = 40056327016604  supplying source will be 0002 - TBS</t>
    </r>
  </si>
  <si>
    <t>Somersby Apple Cider (6x330ml Cans)</t>
  </si>
  <si>
    <r>
      <t xml:space="preserve">Discontinued by supplier. New SKU will be LCBO# 16763.  </t>
    </r>
    <r>
      <rPr>
        <b/>
        <sz val="11"/>
        <color theme="1"/>
        <rFont val="Calibri"/>
        <family val="2"/>
        <scheme val="minor"/>
      </rPr>
      <t>NEW UPC = 675325010050 ; NEW SCC = 06753250100436  supplying source will remain 0001 - LCBO: availability date TBD</t>
    </r>
  </si>
  <si>
    <t>6395</t>
  </si>
  <si>
    <t xml:space="preserve">20 BEES CABERNET MERLOT VQA </t>
  </si>
  <si>
    <t xml:space="preserve">874537016144 </t>
  </si>
  <si>
    <r>
      <t xml:space="preserve">UPC &amp; SCC Code updating: OLD UPC = 874537016144 ; </t>
    </r>
    <r>
      <rPr>
        <b/>
        <sz val="11"/>
        <color theme="1"/>
        <rFont val="Calibri"/>
        <family val="2"/>
        <scheme val="minor"/>
      </rPr>
      <t xml:space="preserve">NEW UPC = 874537000041 </t>
    </r>
    <r>
      <rPr>
        <sz val="11"/>
        <color theme="1"/>
        <rFont val="Calibri"/>
        <family val="2"/>
        <scheme val="minor"/>
      </rPr>
      <t xml:space="preserve">| OLD SCC = 10874537016141;  </t>
    </r>
    <r>
      <rPr>
        <b/>
        <sz val="11"/>
        <color theme="1"/>
        <rFont val="Calibri"/>
        <family val="2"/>
        <scheme val="minor"/>
      </rPr>
      <t>NEW SCC = 10874537000048</t>
    </r>
  </si>
  <si>
    <t>Muskoka Ebb &amp; Flow</t>
  </si>
  <si>
    <t>Anderson 2 X Ipa</t>
  </si>
  <si>
    <t>Left Field Brewery Squeeze Play Pomegranate</t>
  </si>
  <si>
    <t>Cowbell Brewing Co. Gravel Run Session Ipa</t>
  </si>
  <si>
    <t>Paulaner Hefe-Weissbier.</t>
  </si>
  <si>
    <r>
      <t xml:space="preserve">UPC &amp; SCC Code updating: OLD UPC = 4066600060192 ; </t>
    </r>
    <r>
      <rPr>
        <b/>
        <sz val="11"/>
        <color theme="1"/>
        <rFont val="Calibri"/>
        <family val="2"/>
        <scheme val="minor"/>
      </rPr>
      <t xml:space="preserve">NEW UPC = 4066600010197 </t>
    </r>
    <r>
      <rPr>
        <sz val="11"/>
        <color theme="1"/>
        <rFont val="Calibri"/>
        <family val="2"/>
        <scheme val="minor"/>
      </rPr>
      <t xml:space="preserve">| OLD SCC = 4066600010197;   </t>
    </r>
    <r>
      <rPr>
        <b/>
        <sz val="11"/>
        <color theme="1"/>
        <rFont val="Calibri"/>
        <family val="2"/>
        <scheme val="minor"/>
      </rPr>
      <t>NEW SCC = 14066600010194</t>
    </r>
  </si>
  <si>
    <t>Hacker Pschorr Munich Gold Lager</t>
  </si>
  <si>
    <r>
      <t xml:space="preserve">UPC &amp; SCC Code updating: OLD UPC = 4004866222329 ; </t>
    </r>
    <r>
      <rPr>
        <b/>
        <sz val="11"/>
        <color theme="1"/>
        <rFont val="Calibri"/>
        <family val="2"/>
        <scheme val="minor"/>
      </rPr>
      <t>NEW UPC = 4004866222312</t>
    </r>
    <r>
      <rPr>
        <sz val="11"/>
        <color theme="1"/>
        <rFont val="Calibri"/>
        <family val="2"/>
        <scheme val="minor"/>
      </rPr>
      <t xml:space="preserve">| OLD SCC = 4004866222312;    </t>
    </r>
    <r>
      <rPr>
        <b/>
        <sz val="11"/>
        <color theme="1"/>
        <rFont val="Calibri"/>
        <family val="2"/>
        <scheme val="minor"/>
      </rPr>
      <t>NEW SCC =14004866222319</t>
    </r>
  </si>
  <si>
    <t>Hacker Pschorr Munich Gold +</t>
  </si>
  <si>
    <r>
      <t xml:space="preserve">UPC &amp; SCC Code updating: OLD UPC = 4004866222251 ; </t>
    </r>
    <r>
      <rPr>
        <b/>
        <sz val="11"/>
        <color theme="1"/>
        <rFont val="Calibri"/>
        <family val="2"/>
        <scheme val="minor"/>
      </rPr>
      <t>NEW UPC = 4004866222268</t>
    </r>
    <r>
      <rPr>
        <sz val="11"/>
        <color theme="1"/>
        <rFont val="Calibri"/>
        <family val="2"/>
        <scheme val="minor"/>
      </rPr>
      <t xml:space="preserve">| OLD SCC = 4004866222268;    </t>
    </r>
    <r>
      <rPr>
        <b/>
        <sz val="11"/>
        <color theme="1"/>
        <rFont val="Calibri"/>
        <family val="2"/>
        <scheme val="minor"/>
      </rPr>
      <t>NEW SCC = 14004866222265</t>
    </r>
  </si>
  <si>
    <t>Hacker Pschorr Weisse Bier +</t>
  </si>
  <si>
    <r>
      <t xml:space="preserve">UPC &amp; SCC Code updating: OLD UPC = 4004866222237 ; </t>
    </r>
    <r>
      <rPr>
        <b/>
        <sz val="11"/>
        <color theme="1"/>
        <rFont val="Calibri"/>
        <family val="2"/>
        <scheme val="minor"/>
      </rPr>
      <t xml:space="preserve">NEW UPC = 400486622220 </t>
    </r>
    <r>
      <rPr>
        <sz val="11"/>
        <color theme="1"/>
        <rFont val="Calibri"/>
        <family val="2"/>
        <scheme val="minor"/>
      </rPr>
      <t xml:space="preserve">| OLD SCC = 4004866222220;    </t>
    </r>
    <r>
      <rPr>
        <b/>
        <sz val="11"/>
        <color theme="1"/>
        <rFont val="Calibri"/>
        <family val="2"/>
        <scheme val="minor"/>
      </rPr>
      <t>NEW SCC = 14004866222227</t>
    </r>
  </si>
  <si>
    <r>
      <t xml:space="preserve">UPC &amp; SCC Code updating: OLD UPC = 628451675075 ; </t>
    </r>
    <r>
      <rPr>
        <b/>
        <sz val="11"/>
        <color theme="1"/>
        <rFont val="Calibri"/>
        <family val="2"/>
        <scheme val="minor"/>
      </rPr>
      <t xml:space="preserve">NEW UPC = 628451675204 </t>
    </r>
    <r>
      <rPr>
        <sz val="11"/>
        <color theme="1"/>
        <rFont val="Calibri"/>
        <family val="2"/>
        <scheme val="minor"/>
      </rPr>
      <t xml:space="preserve">| OLD SCC = 10628451675072; </t>
    </r>
    <r>
      <rPr>
        <b/>
        <sz val="11"/>
        <color theme="1"/>
        <rFont val="Calibri"/>
        <family val="2"/>
        <scheme val="minor"/>
      </rPr>
      <t>NEW SCC = 10628451675201</t>
    </r>
  </si>
  <si>
    <t>Harwood Estate Windward White VQA</t>
  </si>
  <si>
    <t>Harwood Estate Admirals Blend VQA</t>
  </si>
  <si>
    <r>
      <t xml:space="preserve">SCC Code updating:  OLD SCC = 10628451675355; </t>
    </r>
    <r>
      <rPr>
        <b/>
        <sz val="11"/>
        <color theme="1"/>
        <rFont val="Calibri"/>
        <family val="2"/>
        <scheme val="minor"/>
      </rPr>
      <t>NEW SCC = 62845167535800</t>
    </r>
    <r>
      <rPr>
        <sz val="11"/>
        <color theme="1"/>
        <rFont val="Calibri"/>
        <family val="2"/>
        <scheme val="minor"/>
      </rPr>
      <t xml:space="preserve"> (no UPC change)</t>
    </r>
  </si>
  <si>
    <t>Tawse Sketches of Niagara Chardonnay VQA</t>
  </si>
  <si>
    <r>
      <t xml:space="preserve">UPC &amp; SCC Code updating: OLD UPC = 670459009789; </t>
    </r>
    <r>
      <rPr>
        <b/>
        <sz val="11"/>
        <color theme="1"/>
        <rFont val="Calibri"/>
        <family val="2"/>
        <scheme val="minor"/>
      </rPr>
      <t xml:space="preserve">NEW UPC = 670459010433 </t>
    </r>
    <r>
      <rPr>
        <sz val="11"/>
        <color theme="1"/>
        <rFont val="Calibri"/>
        <family val="2"/>
        <scheme val="minor"/>
      </rPr>
      <t xml:space="preserve">| OLD SCC = 10670459009786; </t>
    </r>
    <r>
      <rPr>
        <b/>
        <sz val="11"/>
        <color theme="1"/>
        <rFont val="Calibri"/>
        <family val="2"/>
        <scheme val="minor"/>
      </rPr>
      <t>NEW SCC = 10670459010430</t>
    </r>
  </si>
  <si>
    <t xml:space="preserve">20 Bees Cabernet Merlot VQA </t>
  </si>
  <si>
    <r>
      <t xml:space="preserve">UPC &amp; SCC Code updating: OLD UPC = 874537016144 ; </t>
    </r>
    <r>
      <rPr>
        <b/>
        <sz val="11"/>
        <color theme="1"/>
        <rFont val="Calibri"/>
        <family val="2"/>
        <scheme val="minor"/>
      </rPr>
      <t xml:space="preserve">NEW UPC = 874537000044 </t>
    </r>
    <r>
      <rPr>
        <sz val="11"/>
        <color theme="1"/>
        <rFont val="Calibri"/>
        <family val="2"/>
        <scheme val="minor"/>
      </rPr>
      <t xml:space="preserve">| OLD SCC = 10874537016141;  </t>
    </r>
    <r>
      <rPr>
        <b/>
        <sz val="11"/>
        <color theme="1"/>
        <rFont val="Calibri"/>
        <family val="2"/>
        <scheme val="minor"/>
      </rPr>
      <t>NEW SCC = 10874537000041</t>
    </r>
  </si>
  <si>
    <t>Collective Arts Project Ipa No. 12</t>
  </si>
  <si>
    <t>Rockwell Pilsner+</t>
  </si>
  <si>
    <r>
      <t xml:space="preserve">Discontinued by supplier. New SKU will be LCBO# 16871.  </t>
    </r>
    <r>
      <rPr>
        <b/>
        <sz val="11"/>
        <color theme="1"/>
        <rFont val="Calibri"/>
        <family val="2"/>
        <scheme val="minor"/>
      </rPr>
      <t>NEW UPC = 666960000094 ; NEW SCC = 10666960000091; selling units per case will change from 12 to 24. supplying source will remain 4205 - THE COLLINGWOOD BREWERY</t>
    </r>
  </si>
  <si>
    <r>
      <t xml:space="preserve">SCC Code updating:  OLD SCC = 08002062010678; </t>
    </r>
    <r>
      <rPr>
        <b/>
        <sz val="11"/>
        <color theme="1"/>
        <rFont val="Calibri"/>
        <family val="2"/>
        <scheme val="minor"/>
      </rPr>
      <t xml:space="preserve">NEW SCC = 08002062010869 </t>
    </r>
    <r>
      <rPr>
        <sz val="11"/>
        <color theme="1"/>
        <rFont val="Calibri"/>
        <family val="2"/>
        <scheme val="minor"/>
      </rPr>
      <t>(no UPC change)</t>
    </r>
  </si>
  <si>
    <r>
      <t xml:space="preserve">SCC Code updating:  OLD SCC = 08002062010692; </t>
    </r>
    <r>
      <rPr>
        <b/>
        <sz val="11"/>
        <color theme="1"/>
        <rFont val="Calibri"/>
        <family val="2"/>
        <scheme val="minor"/>
      </rPr>
      <t xml:space="preserve">NEW SCC = 08002062010876 </t>
    </r>
    <r>
      <rPr>
        <sz val="11"/>
        <color theme="1"/>
        <rFont val="Calibri"/>
        <family val="2"/>
        <scheme val="minor"/>
      </rPr>
      <t>(no UPC change)</t>
    </r>
  </si>
  <si>
    <t>Masi Modello Pinot Grigio Delle Venezie DOC</t>
  </si>
  <si>
    <r>
      <t xml:space="preserve">SCC Code updating:  OLD SCC = 08002062010494; </t>
    </r>
    <r>
      <rPr>
        <b/>
        <sz val="11"/>
        <color theme="1"/>
        <rFont val="Calibri"/>
        <family val="2"/>
        <scheme val="minor"/>
      </rPr>
      <t xml:space="preserve">NEW SCC = 08002062010814 </t>
    </r>
    <r>
      <rPr>
        <sz val="11"/>
        <color theme="1"/>
        <rFont val="Calibri"/>
        <family val="2"/>
        <scheme val="minor"/>
      </rPr>
      <t>(no UPC change)</t>
    </r>
  </si>
  <si>
    <t>Old Milwaukee 6 Pk - C</t>
  </si>
  <si>
    <r>
      <t>Supplying source updated: OLD: 0001 - LCBO; NEW</t>
    </r>
    <r>
      <rPr>
        <b/>
        <sz val="11"/>
        <color theme="1"/>
        <rFont val="Calibri"/>
        <family val="2"/>
        <scheme val="minor"/>
      </rPr>
      <t xml:space="preserve"> SUPPLYING SOURCE:   0002 - TBS</t>
    </r>
  </si>
  <si>
    <t>Pelee Island ECO White</t>
  </si>
  <si>
    <r>
      <t xml:space="preserve">Discontinued by supplier. New SKU will be LCBO# 16786 .  </t>
    </r>
    <r>
      <rPr>
        <b/>
        <sz val="11"/>
        <color theme="1"/>
        <rFont val="Calibri"/>
        <family val="2"/>
        <scheme val="minor"/>
      </rPr>
      <t>NEW UPC = 628669092541 ; NEW SCC = 80628669092547  supplying source will be 3436 - LAKES OF MUSKOKA COTTAGE BREWERY</t>
    </r>
  </si>
  <si>
    <t>Abe Erb Settle Down Coffee Pale Ale</t>
  </si>
  <si>
    <t>Left Field Brewery Big Train</t>
  </si>
  <si>
    <t>Maclean's Cherry Porter</t>
  </si>
  <si>
    <t>Autumn Kellerbier</t>
  </si>
  <si>
    <t>Anderson Craft Ales Hazy Ipa</t>
  </si>
  <si>
    <t>Cowbell Brewing Co. McNall's Mission</t>
  </si>
  <si>
    <t>Elora Australis</t>
  </si>
  <si>
    <t>Macleans Ipa</t>
  </si>
  <si>
    <t>Mill St Hopped &amp; Confused Session Ale</t>
  </si>
  <si>
    <t>Glutenberg Blonde 4x473</t>
  </si>
  <si>
    <r>
      <t xml:space="preserve">UPC Code updating:  OLD UPC = 832958000227;  </t>
    </r>
    <r>
      <rPr>
        <b/>
        <sz val="11"/>
        <color theme="1"/>
        <rFont val="Calibri"/>
        <family val="2"/>
        <scheme val="minor"/>
      </rPr>
      <t xml:space="preserve">NEW UPC = 832958000524 </t>
    </r>
    <r>
      <rPr>
        <sz val="11"/>
        <color theme="1"/>
        <rFont val="Calibri"/>
        <family val="2"/>
        <scheme val="minor"/>
      </rPr>
      <t>(no SCC change)</t>
    </r>
  </si>
  <si>
    <t>Budweiser Shot 6 Pk-C</t>
  </si>
  <si>
    <t>1416 mL</t>
  </si>
  <si>
    <t>Innis &amp; Gunn The Original.</t>
  </si>
  <si>
    <t>Lake Of Bays 10th Year Celebration Pack</t>
  </si>
  <si>
    <t>Fetzer Cabernet Sauvignon</t>
  </si>
  <si>
    <t>Three Thieves Bandit Pinot Grigio Carton</t>
  </si>
  <si>
    <t>Lake Of Bays Twilight Hour Coffee Stout</t>
  </si>
  <si>
    <t>Cool Beer Blonde Lager</t>
  </si>
  <si>
    <r>
      <t>Supplying source changing from PRODUCER  0080 - COOL BEER BREWING CO. to</t>
    </r>
    <r>
      <rPr>
        <b/>
        <sz val="11"/>
        <color theme="1"/>
        <rFont val="Calibri"/>
        <family val="2"/>
        <scheme val="minor"/>
      </rPr>
      <t xml:space="preserve"> 0001 - LCBO</t>
    </r>
  </si>
  <si>
    <t>Seasons Baco Noir VQA</t>
  </si>
  <si>
    <t xml:space="preserve">Angels Gate Merlot VQA </t>
  </si>
  <si>
    <t>Fantini Casale Vecchio, Montepulciano d’Abruzzo Organic</t>
  </si>
  <si>
    <t>Fantini Numero Uno Primitivo</t>
  </si>
  <si>
    <t>Going below grocery floor price July 20th</t>
  </si>
  <si>
    <t>Collective Arts Mango Tangerine Sour</t>
  </si>
  <si>
    <t>Beringer Main &amp; Vine White Zinfandel</t>
  </si>
  <si>
    <t>Beringer Main &amp; Vine Pinot Grigio</t>
  </si>
  <si>
    <t>Heineken Lager 6 Pk-C +</t>
  </si>
  <si>
    <r>
      <t xml:space="preserve">UPC Code updating:  OLD UPC = 072890000019;  </t>
    </r>
    <r>
      <rPr>
        <b/>
        <sz val="11"/>
        <color theme="1"/>
        <rFont val="Calibri"/>
        <family val="2"/>
        <scheme val="minor"/>
      </rPr>
      <t>NEW UPC =072890006486 (no SCC change)</t>
    </r>
  </si>
  <si>
    <t>Two Blokes - Hex Press Dry Cider</t>
  </si>
  <si>
    <r>
      <t>Supplying source changing from PRODUCER  2840 - TWO BLOKES CIDER to</t>
    </r>
    <r>
      <rPr>
        <b/>
        <sz val="11"/>
        <color theme="1"/>
        <rFont val="Calibri"/>
        <family val="2"/>
        <scheme val="minor"/>
      </rPr>
      <t xml:space="preserve"> 0001 - LCBO</t>
    </r>
  </si>
  <si>
    <t>Ace Hill Light Lager</t>
  </si>
  <si>
    <t>Lake Of Bays Northern Glow Champagne Ipa</t>
  </si>
  <si>
    <t>Grand River Mill Race Dark</t>
  </si>
  <si>
    <t>Grand River Beam Me Up</t>
  </si>
  <si>
    <t>London Natural Lager</t>
  </si>
  <si>
    <r>
      <t xml:space="preserve">UPC &amp; SCC Code updating: OLD UPC = 752830950559 ; </t>
    </r>
    <r>
      <rPr>
        <b/>
        <sz val="11"/>
        <color theme="1"/>
        <rFont val="Calibri"/>
        <family val="2"/>
        <scheme val="minor"/>
      </rPr>
      <t xml:space="preserve">NEW UPC = 628176660011 </t>
    </r>
    <r>
      <rPr>
        <sz val="11"/>
        <color theme="1"/>
        <rFont val="Calibri"/>
        <family val="2"/>
        <scheme val="minor"/>
      </rPr>
      <t xml:space="preserve">| OLD SCC = 10752830950556;   </t>
    </r>
    <r>
      <rPr>
        <b/>
        <sz val="11"/>
        <color theme="1"/>
        <rFont val="Calibri"/>
        <family val="2"/>
        <scheme val="minor"/>
      </rPr>
      <t>NEW SCC = 10628176660018</t>
    </r>
  </si>
  <si>
    <t>Muskoka Born This Way Ipa</t>
  </si>
  <si>
    <t>Budweiser Copper Lager</t>
  </si>
  <si>
    <t>Sarah Cole Whip Cider</t>
  </si>
  <si>
    <r>
      <t xml:space="preserve">UPC Code updating:  OLD UPC = 628451805236;  </t>
    </r>
    <r>
      <rPr>
        <b/>
        <sz val="11"/>
        <color theme="1"/>
        <rFont val="Calibri"/>
        <family val="2"/>
        <scheme val="minor"/>
      </rPr>
      <t>NEW UPC = 628451805168 (no SCC change)</t>
    </r>
  </si>
  <si>
    <t>Baltika 7</t>
  </si>
  <si>
    <r>
      <t xml:space="preserve">Discontinued by supplier. New SKU will be LCBO# 14446. 470mLx20 per case </t>
    </r>
    <r>
      <rPr>
        <b/>
        <sz val="11"/>
        <color theme="1"/>
        <rFont val="Calibri"/>
        <family val="2"/>
        <scheme val="minor"/>
      </rPr>
      <t>** NEW UPC = 4600682407478 ; NEW SCC = 46006820238076**</t>
    </r>
  </si>
  <si>
    <r>
      <t xml:space="preserve">UPC &amp; SCC Code updating: OLD UPC = 670459007136; </t>
    </r>
    <r>
      <rPr>
        <b/>
        <sz val="11"/>
        <color theme="1"/>
        <rFont val="Calibri"/>
        <family val="2"/>
        <scheme val="minor"/>
      </rPr>
      <t xml:space="preserve">NEW UPC = 670459008676 </t>
    </r>
    <r>
      <rPr>
        <sz val="11"/>
        <color theme="1"/>
        <rFont val="Calibri"/>
        <family val="2"/>
        <scheme val="minor"/>
      </rPr>
      <t xml:space="preserve">| OLD SCC = 10670459007133; </t>
    </r>
    <r>
      <rPr>
        <b/>
        <sz val="11"/>
        <color theme="1"/>
        <rFont val="Calibri"/>
        <family val="2"/>
        <scheme val="minor"/>
      </rPr>
      <t>NEW SCC = 10670459008673</t>
    </r>
  </si>
  <si>
    <t>Tawse Chardonnay Cuddy 2014</t>
  </si>
  <si>
    <t>Fiol Prosecco DOC</t>
  </si>
  <si>
    <r>
      <t xml:space="preserve">UPC &amp; SCC Code updating: OLD UPC = 3179070184013; </t>
    </r>
    <r>
      <rPr>
        <b/>
        <sz val="11"/>
        <color theme="1"/>
        <rFont val="Calibri"/>
        <family val="2"/>
        <scheme val="minor"/>
      </rPr>
      <t xml:space="preserve">NEW UPC = 3179077542564 </t>
    </r>
    <r>
      <rPr>
        <sz val="11"/>
        <color theme="1"/>
        <rFont val="Calibri"/>
        <family val="2"/>
        <scheme val="minor"/>
      </rPr>
      <t xml:space="preserve">| OLD SCC = 43179070114315; </t>
    </r>
    <r>
      <rPr>
        <b/>
        <sz val="11"/>
        <color theme="1"/>
        <rFont val="Calibri"/>
        <family val="2"/>
        <scheme val="minor"/>
      </rPr>
      <t>NEW SCC = 03179077102980</t>
    </r>
  </si>
  <si>
    <r>
      <t xml:space="preserve">UPC &amp; SCC Code updating: OLD UPC = 3179070188011; </t>
    </r>
    <r>
      <rPr>
        <b/>
        <sz val="11"/>
        <color theme="1"/>
        <rFont val="Calibri"/>
        <family val="2"/>
        <scheme val="minor"/>
      </rPr>
      <t xml:space="preserve">NEW UPC = 3179077542588 </t>
    </r>
    <r>
      <rPr>
        <sz val="11"/>
        <color theme="1"/>
        <rFont val="Calibri"/>
        <family val="2"/>
        <scheme val="minor"/>
      </rPr>
      <t xml:space="preserve">| OLD SCC = 43179073000578; </t>
    </r>
    <r>
      <rPr>
        <b/>
        <sz val="11"/>
        <color theme="1"/>
        <rFont val="Calibri"/>
        <family val="2"/>
        <scheme val="minor"/>
      </rPr>
      <t>NEW SCC = 03179077102997</t>
    </r>
  </si>
  <si>
    <t>Cellier Des Dauphins Prestige White Cotes Du Rh AOC</t>
  </si>
  <si>
    <t>Cellier Des Dauphins Prestige Red Cotes Du Rh AOC</t>
  </si>
  <si>
    <t>Ravine Vineyard-Lowrey Bros. Hard Apple Cider</t>
  </si>
  <si>
    <t>Muskoka Key Lime Pie</t>
  </si>
  <si>
    <t>Reinhart's Strawberry Hibiscus Cider</t>
  </si>
  <si>
    <t>Beyond The Pale Pink Fuzz</t>
  </si>
  <si>
    <r>
      <t xml:space="preserve">UPC Code updating: OLD UPC = 052338000016; </t>
    </r>
    <r>
      <rPr>
        <b/>
        <sz val="11"/>
        <color theme="1"/>
        <rFont val="Calibri"/>
        <family val="2"/>
        <scheme val="minor"/>
      </rPr>
      <t>NEW UPC = 628451494010 (no SCC change)</t>
    </r>
  </si>
  <si>
    <t>Shiny Apple Cider With Pinot</t>
  </si>
  <si>
    <r>
      <t xml:space="preserve">Product Name Changed: old name Shiny Apple Cider With Pinot; </t>
    </r>
    <r>
      <rPr>
        <b/>
        <sz val="11"/>
        <color theme="1"/>
        <rFont val="Calibri"/>
        <family val="2"/>
        <scheme val="minor"/>
      </rPr>
      <t>NEW NAME: Shiny Apple Rose (no UPC or SCC change)</t>
    </r>
  </si>
  <si>
    <t>0085000029824</t>
  </si>
  <si>
    <r>
      <t xml:space="preserve">UPC Code updating: OLD UPC = 0085000029824; </t>
    </r>
    <r>
      <rPr>
        <b/>
        <sz val="11"/>
        <color theme="1"/>
        <rFont val="Calibri"/>
        <family val="2"/>
        <scheme val="minor"/>
      </rPr>
      <t>NEW UPC = 085000029824 (no SCC change)</t>
    </r>
  </si>
  <si>
    <t>Apothic Red</t>
  </si>
  <si>
    <t>0085000017746</t>
  </si>
  <si>
    <r>
      <t xml:space="preserve">UPC Code updating: OLD UPC = 0085000017746; </t>
    </r>
    <r>
      <rPr>
        <b/>
        <sz val="11"/>
        <color theme="1"/>
        <rFont val="Calibri"/>
        <family val="2"/>
        <scheme val="minor"/>
      </rPr>
      <t>NEW UPC = 085000017746 (no SCC change)</t>
    </r>
  </si>
  <si>
    <r>
      <t xml:space="preserve">UPC Code updating: OLD UPC = 0085000022450; </t>
    </r>
    <r>
      <rPr>
        <b/>
        <sz val="11"/>
        <color theme="1"/>
        <rFont val="Calibri"/>
        <family val="2"/>
        <scheme val="minor"/>
      </rPr>
      <t>NEW UPC = 085000022450 (no SCC change)</t>
    </r>
  </si>
  <si>
    <t>0085000022450</t>
  </si>
  <si>
    <t>Apothic Rose</t>
  </si>
  <si>
    <t>Apothic Cabernet Sauvignon</t>
  </si>
  <si>
    <r>
      <t xml:space="preserve">UPC &amp; SCC Code updating: OLD UPC = 670459009994; </t>
    </r>
    <r>
      <rPr>
        <b/>
        <sz val="11"/>
        <color theme="1"/>
        <rFont val="Calibri"/>
        <family val="2"/>
        <scheme val="minor"/>
      </rPr>
      <t>NEW UPC = 670459010662</t>
    </r>
    <r>
      <rPr>
        <sz val="11"/>
        <color theme="1"/>
        <rFont val="Calibri"/>
        <family val="2"/>
        <scheme val="minor"/>
      </rPr>
      <t xml:space="preserve"> | OLD SCC = 10670459009991;  </t>
    </r>
    <r>
      <rPr>
        <b/>
        <sz val="11"/>
        <color theme="1"/>
        <rFont val="Calibri"/>
        <family val="2"/>
        <scheme val="minor"/>
      </rPr>
      <t>NEW SCC = 10670459010669</t>
    </r>
  </si>
  <si>
    <t>Lvivske 1715</t>
  </si>
  <si>
    <t>Elora Brewing Friends Forever Pale Ale</t>
  </si>
  <si>
    <t>Jackson-Triggs Cabernet Sauvignon Light</t>
  </si>
  <si>
    <t xml:space="preserve">063657040447 </t>
  </si>
  <si>
    <t>Czechvar Dark Lager</t>
  </si>
  <si>
    <t>Mikkeller Peter Paul Mary Pale Ale</t>
  </si>
  <si>
    <t>Omnipollo Raspberry Aniara</t>
  </si>
  <si>
    <t>Grand River Cliff Dive Ipa</t>
  </si>
  <si>
    <t>St. Mary Axe Belhoste Ale</t>
  </si>
  <si>
    <t>Joseph Drouhin Chablis Drouhin-Vaudon</t>
  </si>
  <si>
    <r>
      <t xml:space="preserve">UPC &amp; SCC Code updating: OLD UPC = 12086322310; </t>
    </r>
    <r>
      <rPr>
        <b/>
        <sz val="11"/>
        <color theme="1"/>
        <rFont val="Calibri"/>
        <family val="2"/>
        <scheme val="minor"/>
      </rPr>
      <t xml:space="preserve">NEW UPC = 12086322211 </t>
    </r>
    <r>
      <rPr>
        <sz val="11"/>
        <color theme="1"/>
        <rFont val="Calibri"/>
        <family val="2"/>
        <scheme val="minor"/>
      </rPr>
      <t xml:space="preserve">| OLD SCC = 10012086322317; </t>
    </r>
    <r>
      <rPr>
        <b/>
        <sz val="11"/>
        <color theme="1"/>
        <rFont val="Calibri"/>
        <family val="2"/>
        <scheme val="minor"/>
      </rPr>
      <t>NEW SCC = 10012086322218</t>
    </r>
  </si>
  <si>
    <t>Raven Conspiracy Wicked White VQA</t>
  </si>
  <si>
    <t>Stella Artois 6 Pk-B+</t>
  </si>
  <si>
    <r>
      <t xml:space="preserve">UPC &amp; SCC Code updating: OLD UPC = 874537033141; </t>
    </r>
    <r>
      <rPr>
        <b/>
        <sz val="11"/>
        <color theme="1"/>
        <rFont val="Calibri"/>
        <family val="2"/>
        <scheme val="minor"/>
      </rPr>
      <t xml:space="preserve">NEW UPC = 874537000099 </t>
    </r>
    <r>
      <rPr>
        <sz val="11"/>
        <color theme="1"/>
        <rFont val="Calibri"/>
        <family val="2"/>
        <scheme val="minor"/>
      </rPr>
      <t xml:space="preserve">| OLD SCC = 10874537033148; </t>
    </r>
    <r>
      <rPr>
        <b/>
        <sz val="11"/>
        <color theme="1"/>
        <rFont val="Calibri"/>
        <family val="2"/>
        <scheme val="minor"/>
      </rPr>
      <t xml:space="preserve">NEW SCC = </t>
    </r>
    <r>
      <rPr>
        <sz val="11"/>
        <color theme="1"/>
        <rFont val="Calibri"/>
        <family val="2"/>
        <scheme val="minor"/>
      </rPr>
      <t>10874537000096</t>
    </r>
  </si>
  <si>
    <r>
      <t xml:space="preserve">Product Name Changed: old name Muskoka Ebb &amp; Flow; </t>
    </r>
    <r>
      <rPr>
        <b/>
        <sz val="11"/>
        <color theme="1"/>
        <rFont val="Calibri"/>
        <family val="2"/>
        <scheme val="minor"/>
      </rPr>
      <t>NEW NAME: Muskoka Ebb &amp; Flow Plum and Boysenberry  (no UPC or SCC change)</t>
    </r>
  </si>
  <si>
    <t>Budweiser Nitro Gold 6-Pk+</t>
  </si>
  <si>
    <t>Coors Slice Lime 473ml</t>
  </si>
  <si>
    <t>Coors Slice Orange 473ml</t>
  </si>
  <si>
    <t>Creemore Collection Helles</t>
  </si>
  <si>
    <t>Gib Northwest Pale Ale</t>
  </si>
  <si>
    <t>Gib Watermelon Lager</t>
  </si>
  <si>
    <t>Alamos Cabernet Sauvignon</t>
  </si>
  <si>
    <t>0085000018170</t>
  </si>
  <si>
    <r>
      <t xml:space="preserve">UPC Code updating: OLD UPC = 0085000018170; </t>
    </r>
    <r>
      <rPr>
        <b/>
        <sz val="11"/>
        <color theme="1"/>
        <rFont val="Calibri"/>
        <family val="2"/>
        <scheme val="minor"/>
      </rPr>
      <t>NEW UPC = 0085000018170 (no SCC change)</t>
    </r>
  </si>
  <si>
    <t>Rockpoint Lager</t>
  </si>
  <si>
    <r>
      <t xml:space="preserve">Supplying source changing from 0001 - LCBO to </t>
    </r>
    <r>
      <rPr>
        <b/>
        <sz val="11"/>
        <color theme="1"/>
        <rFont val="Calibri"/>
        <family val="2"/>
        <scheme val="minor"/>
      </rPr>
      <t>PRODUCER  1643 - STORYTELLER BEVERAGES INC.</t>
    </r>
  </si>
  <si>
    <t>Santa Julia Pinot Grigio Del Mercado</t>
  </si>
  <si>
    <t>0014691</t>
  </si>
  <si>
    <t>Welly Mix Volume 8</t>
  </si>
  <si>
    <t>621433027046</t>
  </si>
  <si>
    <t>0015414</t>
  </si>
  <si>
    <t>Wellington Shubie Sour Raspberry Ipa</t>
  </si>
  <si>
    <t>621433081048</t>
  </si>
  <si>
    <t>Grolsch Radler+</t>
  </si>
  <si>
    <r>
      <t xml:space="preserve">UPC &amp; SCC Code updating: OLD UPC = 400003987863; </t>
    </r>
    <r>
      <rPr>
        <b/>
        <sz val="11"/>
        <color theme="1"/>
        <rFont val="Calibri"/>
        <family val="2"/>
        <scheme val="minor"/>
      </rPr>
      <t xml:space="preserve">NEW UPC = 779373398761 </t>
    </r>
    <r>
      <rPr>
        <sz val="11"/>
        <color theme="1"/>
        <rFont val="Calibri"/>
        <family val="2"/>
        <scheme val="minor"/>
      </rPr>
      <t xml:space="preserve">| OLD SCC = 10400003987860;  </t>
    </r>
    <r>
      <rPr>
        <b/>
        <sz val="11"/>
        <color theme="1"/>
        <rFont val="Calibri"/>
        <family val="2"/>
        <scheme val="minor"/>
      </rPr>
      <t>NEW SCC = 10779373398768</t>
    </r>
  </si>
  <si>
    <t>Batch X Shiraz</t>
  </si>
  <si>
    <t>Nz Pure Lager  C +</t>
  </si>
  <si>
    <t xml:space="preserve">Serenity by Lakeview Cellars Rose VQA </t>
  </si>
  <si>
    <r>
      <t xml:space="preserve">Supplying source changing from 4239 - Lakeview Cellars Estate Winery to </t>
    </r>
    <r>
      <rPr>
        <b/>
        <sz val="11"/>
        <color theme="1"/>
        <rFont val="Calibri"/>
        <family val="2"/>
        <scheme val="minor"/>
      </rPr>
      <t xml:space="preserve">PRODUCER 6478 - DIAMOND ESTATES WINES &amp; SPIRITS LTD. </t>
    </r>
  </si>
  <si>
    <t xml:space="preserve">Serenity by Lakeview Cellars Cabernet Merlot VQA </t>
  </si>
  <si>
    <t>Grolsch Premium Pilsner 4 Pk-B+</t>
  </si>
  <si>
    <t>1800 mL</t>
  </si>
  <si>
    <r>
      <t xml:space="preserve">SCC Code updating: OLD SCC = 18716700025869;  </t>
    </r>
    <r>
      <rPr>
        <b/>
        <sz val="11"/>
        <color theme="1"/>
        <rFont val="Calibri"/>
        <family val="2"/>
        <scheme val="minor"/>
      </rPr>
      <t>NEW SCC = 18716700024091 (no change to UPC)</t>
    </r>
  </si>
  <si>
    <t xml:space="preserve">Temporarily  discontinued - Supply issues </t>
  </si>
  <si>
    <t xml:space="preserve">Serenity by Lakeview Cellars Baco Noir VQA </t>
  </si>
  <si>
    <t xml:space="preserve">Serenity by Lakeview Cellars Sauv Blanc VQA </t>
  </si>
  <si>
    <r>
      <t xml:space="preserve">SCC Code updating: OLD SCC = 08002062010555;  </t>
    </r>
    <r>
      <rPr>
        <b/>
        <sz val="11"/>
        <color theme="1"/>
        <rFont val="Calibri"/>
        <family val="2"/>
        <scheme val="minor"/>
      </rPr>
      <t>NEW SCC = 08002062010883 (no change to UPC)</t>
    </r>
  </si>
  <si>
    <t>Masi Bonacosta Valpolicella Classico Doc</t>
  </si>
  <si>
    <t xml:space="preserve">Masi Campofiorin </t>
  </si>
  <si>
    <r>
      <t xml:space="preserve">SCC Code updating: OLD SCC = 08002062010708;  </t>
    </r>
    <r>
      <rPr>
        <b/>
        <sz val="11"/>
        <color theme="1"/>
        <rFont val="Calibri"/>
        <family val="2"/>
        <scheme val="minor"/>
      </rPr>
      <t>NEW SCC = 08002062010937 (no change to UPC)</t>
    </r>
  </si>
  <si>
    <t>Gosser Beer +</t>
  </si>
  <si>
    <r>
      <t xml:space="preserve">SCC Code updating: OLD SCC = 9001511100495;   </t>
    </r>
    <r>
      <rPr>
        <b/>
        <sz val="11"/>
        <color theme="1"/>
        <rFont val="Calibri"/>
        <family val="2"/>
        <scheme val="minor"/>
      </rPr>
      <t>NEW SCC = 19028800754518 (no change to UPC)</t>
    </r>
  </si>
  <si>
    <r>
      <t xml:space="preserve">SCC Code updating: OLD SCC = 9028800751428;   </t>
    </r>
    <r>
      <rPr>
        <b/>
        <sz val="11"/>
        <color theme="1"/>
        <rFont val="Calibri"/>
        <family val="2"/>
        <scheme val="minor"/>
      </rPr>
      <t>NEW SCC = 19028800751425 (no change to UPC)</t>
    </r>
  </si>
  <si>
    <t>Chesterfield Ksa</t>
  </si>
  <si>
    <t>Moosehead Small Batch Peppermint Ipa</t>
  </si>
  <si>
    <t>Bitburger Premium Beer+</t>
  </si>
  <si>
    <t>Weihenstephaner Hefeweissbier Dunkel+</t>
  </si>
  <si>
    <r>
      <t xml:space="preserve">UPC Code updating: OLD UPC = 4105120043879;  </t>
    </r>
    <r>
      <rPr>
        <b/>
        <sz val="11"/>
        <color theme="1"/>
        <rFont val="Calibri"/>
        <family val="2"/>
        <scheme val="minor"/>
      </rPr>
      <t>NEW UPC = 4105120573871 (no SCC change)</t>
    </r>
  </si>
  <si>
    <r>
      <t xml:space="preserve">Discontinued by supplier. New SKU will be: LCBO# </t>
    </r>
    <r>
      <rPr>
        <b/>
        <sz val="11"/>
        <color theme="1"/>
        <rFont val="Calibri"/>
        <family val="2"/>
        <scheme val="minor"/>
      </rPr>
      <t>17823;</t>
    </r>
    <r>
      <rPr>
        <sz val="11"/>
        <color theme="1"/>
        <rFont val="Calibri"/>
        <family val="2"/>
        <scheme val="minor"/>
      </rPr>
      <t xml:space="preserve"> supplying source will be</t>
    </r>
    <r>
      <rPr>
        <b/>
        <sz val="11"/>
        <color theme="1"/>
        <rFont val="Calibri"/>
        <family val="2"/>
        <scheme val="minor"/>
      </rPr>
      <t xml:space="preserve"> 0002 - TBS; NEW UPC =  062067382222;   NEW SCC = 062067382635 **REVISED EFFECTIVE DATE WAS 9/9/20, NOW 9/15/20**</t>
    </r>
  </si>
  <si>
    <r>
      <t xml:space="preserve">Discontinued by supplier. New SKU will be: LCBO# </t>
    </r>
    <r>
      <rPr>
        <b/>
        <strike/>
        <sz val="11"/>
        <color theme="1"/>
        <rFont val="Calibri"/>
        <family val="2"/>
        <scheme val="minor"/>
      </rPr>
      <t>17823;</t>
    </r>
    <r>
      <rPr>
        <strike/>
        <sz val="11"/>
        <color theme="1"/>
        <rFont val="Calibri"/>
        <family val="2"/>
        <scheme val="minor"/>
      </rPr>
      <t xml:space="preserve"> supplying source will be</t>
    </r>
    <r>
      <rPr>
        <b/>
        <strike/>
        <sz val="11"/>
        <color theme="1"/>
        <rFont val="Calibri"/>
        <family val="2"/>
        <scheme val="minor"/>
      </rPr>
      <t xml:space="preserve"> 0002 - TBS; NEW UPC =  062067382222;   NEW SCC = 062067382635 </t>
    </r>
    <r>
      <rPr>
        <b/>
        <sz val="11"/>
        <color theme="1"/>
        <rFont val="Calibri"/>
        <family val="2"/>
        <scheme val="minor"/>
      </rPr>
      <t>**REVISED EFFECTIVE DATE WAS 9/9/20, NOW 9/15/20**</t>
    </r>
  </si>
  <si>
    <t>Molson Cdn Cold Shots+</t>
  </si>
  <si>
    <t>944 mL</t>
  </si>
  <si>
    <r>
      <t xml:space="preserve">Discontinued by supplier. New SKU will be LCBO# 17488 .  </t>
    </r>
    <r>
      <rPr>
        <b/>
        <sz val="11"/>
        <color rgb="FF000000"/>
        <rFont val="Calibri"/>
        <family val="2"/>
      </rPr>
      <t>NEW UPC = 056327014145 ; NEW SCC = 70056327014144 selling units to change from 4x236mL to 4x222mL, selling units per case remains 6. Availability of new SKU TBD</t>
    </r>
  </si>
  <si>
    <t>0367938</t>
  </si>
  <si>
    <t>Stella Artois 6 Pk Tc+</t>
  </si>
  <si>
    <t>786150001370</t>
  </si>
  <si>
    <t>0487264</t>
  </si>
  <si>
    <t>Stella Artois +</t>
  </si>
  <si>
    <t>786150000236</t>
  </si>
  <si>
    <r>
      <t xml:space="preserve">Discontinued by supplier. New SKU will be: LCBO# </t>
    </r>
    <r>
      <rPr>
        <b/>
        <sz val="11"/>
        <color theme="1"/>
        <rFont val="Calibri"/>
        <family val="2"/>
        <scheme val="minor"/>
      </rPr>
      <t xml:space="preserve">17819; </t>
    </r>
    <r>
      <rPr>
        <sz val="11"/>
        <color theme="1"/>
        <rFont val="Calibri"/>
        <family val="2"/>
        <scheme val="minor"/>
      </rPr>
      <t xml:space="preserve"> supplying source will be</t>
    </r>
    <r>
      <rPr>
        <b/>
        <sz val="11"/>
        <color theme="1"/>
        <rFont val="Calibri"/>
        <family val="2"/>
        <scheme val="minor"/>
      </rPr>
      <t xml:space="preserve"> 0002 - TBS; NEW UPC =  062067382161;   NEW SCC = 062067382161 </t>
    </r>
  </si>
  <si>
    <r>
      <t xml:space="preserve">Discontinued by supplier. New SKU will be: LCBO# </t>
    </r>
    <r>
      <rPr>
        <b/>
        <sz val="11"/>
        <color theme="1"/>
        <rFont val="Calibri"/>
        <family val="2"/>
        <scheme val="minor"/>
      </rPr>
      <t>17820;</t>
    </r>
    <r>
      <rPr>
        <sz val="11"/>
        <color theme="1"/>
        <rFont val="Calibri"/>
        <family val="2"/>
        <scheme val="minor"/>
      </rPr>
      <t xml:space="preserve"> supplying source will be</t>
    </r>
    <r>
      <rPr>
        <b/>
        <sz val="11"/>
        <color theme="1"/>
        <rFont val="Calibri"/>
        <family val="2"/>
        <scheme val="minor"/>
      </rPr>
      <t xml:space="preserve"> 0002 - TBS; NEW UPC =  062067382178;   NEW SCC = 062067382185 </t>
    </r>
  </si>
  <si>
    <t>Aria Sparkling Rose VQA</t>
  </si>
  <si>
    <t xml:space="preserve">Moet &amp; Chandon Brut Rose </t>
  </si>
  <si>
    <r>
      <t xml:space="preserve">UPC &amp; SCC Code updating: OLD UPC = 3185370074831; </t>
    </r>
    <r>
      <rPr>
        <b/>
        <sz val="11"/>
        <color theme="1"/>
        <rFont val="Calibri"/>
        <family val="2"/>
        <scheme val="minor"/>
      </rPr>
      <t xml:space="preserve">NEW UPC = 3185370696842 </t>
    </r>
    <r>
      <rPr>
        <sz val="11"/>
        <color theme="1"/>
        <rFont val="Calibri"/>
        <family val="2"/>
        <scheme val="minor"/>
      </rPr>
      <t xml:space="preserve">| OLD SCC = 3185370474181;  </t>
    </r>
    <r>
      <rPr>
        <b/>
        <sz val="11"/>
        <color theme="1"/>
        <rFont val="Calibri"/>
        <family val="2"/>
        <scheme val="minor"/>
      </rPr>
      <t>NEW SCC = 03185370696903</t>
    </r>
  </si>
  <si>
    <t>La Vieille Ferme Cotes Du Ventoux Aoc</t>
  </si>
  <si>
    <t>Clarity Ruby Red VQA</t>
  </si>
  <si>
    <t>Lignum Vitis Frappato Shiraz Igt Sicily</t>
  </si>
  <si>
    <t>048162015722</t>
  </si>
  <si>
    <t>Ace Hill Radler Mix Pack</t>
  </si>
  <si>
    <t>Flying Monkeys Wonderstar Botanical Lager</t>
  </si>
  <si>
    <t>Old Tomorrow Honey Ginger Shandy</t>
  </si>
  <si>
    <t>Radeberger Pilsner 6 Pk-B+</t>
  </si>
  <si>
    <t>Castello Di Neive Barbaresco Docg</t>
  </si>
  <si>
    <t>Side Launch Getaway Ipa</t>
  </si>
  <si>
    <t>Henderson Picnic Beer - Saison Light</t>
  </si>
  <si>
    <t>Elora Borealis Pale Ale</t>
  </si>
  <si>
    <r>
      <t xml:space="preserve">UPC &amp; SCC Code updating: OLD UPC = 3391180007079; </t>
    </r>
    <r>
      <rPr>
        <b/>
        <sz val="11"/>
        <color theme="1"/>
        <rFont val="Calibri"/>
        <family val="2"/>
        <scheme val="minor"/>
      </rPr>
      <t xml:space="preserve">NEW UPC = 3391180010604 </t>
    </r>
    <r>
      <rPr>
        <sz val="11"/>
        <color theme="1"/>
        <rFont val="Calibri"/>
        <family val="2"/>
        <scheme val="minor"/>
      </rPr>
      <t xml:space="preserve">| OLD SCC = 03391180007093;  </t>
    </r>
    <r>
      <rPr>
        <b/>
        <sz val="11"/>
        <color theme="1"/>
        <rFont val="Calibri"/>
        <family val="2"/>
        <scheme val="minor"/>
      </rPr>
      <t>NEW SCC = 03391180010628</t>
    </r>
  </si>
  <si>
    <t xml:space="preserve">Graffigna Pinot Grigio </t>
  </si>
  <si>
    <t>Rosemount Diamond Cabnet Sauvignon</t>
  </si>
  <si>
    <t>Royal Unibrew Faxe 7.1 +</t>
  </si>
  <si>
    <t>Big Rig Midnight Kissed My Cow Stout</t>
  </si>
  <si>
    <t>Big Rig Alpha Bomb Ipa 4 Pack+</t>
  </si>
  <si>
    <r>
      <t xml:space="preserve">SCC Code updating: OLD SCC = 10742832060872;  </t>
    </r>
    <r>
      <rPr>
        <b/>
        <sz val="11"/>
        <color theme="1"/>
        <rFont val="Calibri"/>
        <family val="2"/>
        <scheme val="minor"/>
      </rPr>
      <t>NEW SCC = 10742832060827  (no UPC change)</t>
    </r>
  </si>
  <si>
    <r>
      <t xml:space="preserve">SCC Code updating: OLD SCC = 74283206087524;  </t>
    </r>
    <r>
      <rPr>
        <b/>
        <sz val="11"/>
        <color theme="1"/>
        <rFont val="Calibri"/>
        <family val="2"/>
        <scheme val="minor"/>
      </rPr>
      <t>NEW SCC = 10742832060872  (no UPC change)</t>
    </r>
  </si>
  <si>
    <t xml:space="preserve">Santa Rita Reserve Sauvignon Blanc </t>
  </si>
  <si>
    <t>Big Bluff White VQA</t>
  </si>
  <si>
    <r>
      <t>Supplying source changing from PRODUCER  9245 - VIEWPOINTE ESTATE WINERY to</t>
    </r>
    <r>
      <rPr>
        <b/>
        <sz val="11"/>
        <color theme="1"/>
        <rFont val="Calibri"/>
        <family val="2"/>
        <scheme val="minor"/>
      </rPr>
      <t xml:space="preserve"> 0001 - LCBO</t>
    </r>
  </si>
  <si>
    <t>Thornbury Village Ladder Run Amber Lager</t>
  </si>
  <si>
    <t>Thornbury Village Pick Up No.26 Pilsner</t>
  </si>
  <si>
    <t>Thornbury Village Dam Dark Lager</t>
  </si>
  <si>
    <r>
      <t>Supplying source changing from PRODUCER  8609 - THORNBURY VILLAGE CIDERY INC. to</t>
    </r>
    <r>
      <rPr>
        <b/>
        <sz val="11"/>
        <color theme="1"/>
        <rFont val="Calibri"/>
        <family val="2"/>
        <scheme val="minor"/>
      </rPr>
      <t xml:space="preserve"> 0001 - LCBO</t>
    </r>
  </si>
  <si>
    <t>Stella Artois Sleek</t>
  </si>
  <si>
    <t xml:space="preserve">Tawse Chardonnay Quarry Road VQA </t>
  </si>
  <si>
    <r>
      <t xml:space="preserve">Discontinued by supplier. New SKU will be: LCBO# </t>
    </r>
    <r>
      <rPr>
        <b/>
        <sz val="11"/>
        <color theme="1"/>
        <rFont val="Calibri"/>
        <family val="2"/>
        <scheme val="minor"/>
      </rPr>
      <t xml:space="preserve">17851; </t>
    </r>
    <r>
      <rPr>
        <sz val="11"/>
        <color theme="1"/>
        <rFont val="Calibri"/>
        <family val="2"/>
        <scheme val="minor"/>
      </rPr>
      <t xml:space="preserve"> supplying source will be</t>
    </r>
    <r>
      <rPr>
        <b/>
        <sz val="11"/>
        <color theme="1"/>
        <rFont val="Calibri"/>
        <family val="2"/>
        <scheme val="minor"/>
      </rPr>
      <t xml:space="preserve"> 0002 - TBS; NEW UPC =  062067382192;   NEW SCC = 70062067382191</t>
    </r>
    <r>
      <rPr>
        <b/>
        <u/>
        <sz val="11"/>
        <color theme="1"/>
        <rFont val="Calibri"/>
        <family val="2"/>
        <scheme val="minor"/>
      </rPr>
      <t xml:space="preserve"> **REVISED EFFECTIVE DATE - was 10/14/20 NOW 12/8/20</t>
    </r>
  </si>
  <si>
    <t>JP Chenet Rose Can</t>
  </si>
  <si>
    <t>Joiy Savvy Society Sauvignon Blanc Can</t>
  </si>
  <si>
    <t>Stel + Mar Premium White Wine Can</t>
  </si>
  <si>
    <t>Muddy York Staring Down The Sun Clementine Sour</t>
  </si>
  <si>
    <t>Strewn Twp Vines Riesling Gewurztraminer VQA</t>
  </si>
  <si>
    <t>Tyskie Beer+</t>
  </si>
  <si>
    <r>
      <t xml:space="preserve">UPC &amp; SCC Code updating: OLD UPC = 835609001093; </t>
    </r>
    <r>
      <rPr>
        <b/>
        <sz val="11"/>
        <color rgb="FF000000"/>
        <rFont val="Calibri"/>
        <family val="2"/>
      </rPr>
      <t xml:space="preserve">NEW UPC = 5901359104669 </t>
    </r>
    <r>
      <rPr>
        <sz val="11"/>
        <color rgb="FF000000"/>
        <rFont val="Calibri"/>
        <family val="2"/>
      </rPr>
      <t xml:space="preserve">| OLD SCC = 835609001123;  </t>
    </r>
    <r>
      <rPr>
        <b/>
        <sz val="11"/>
        <color rgb="FF000000"/>
        <rFont val="Calibri"/>
        <family val="2"/>
      </rPr>
      <t>NEW SCC = 15901359104666</t>
    </r>
  </si>
  <si>
    <t>Collective Arts Raspberry Dry Hopped Sour</t>
  </si>
  <si>
    <t>Lake Of Bays Low Tide Zero Ibu Ipa</t>
  </si>
  <si>
    <t>Brickworks Ciderhouse Burgundy Effect</t>
  </si>
  <si>
    <t>Kirin Ichiban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</si>
  <si>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17652 Kirin Ichiban 473mL; </t>
    </r>
    <r>
      <rPr>
        <sz val="11"/>
        <color theme="1"/>
        <rFont val="Calibri"/>
        <family val="2"/>
        <scheme val="minor"/>
      </rPr>
      <t xml:space="preserve"> supplying source will be</t>
    </r>
    <r>
      <rPr>
        <b/>
        <sz val="11"/>
        <color theme="1"/>
        <rFont val="Calibri"/>
        <family val="2"/>
        <scheme val="minor"/>
      </rPr>
      <t xml:space="preserve"> 0002 - TBS; NEW UPC =  062067381980;   NEW SCC = 70062067381989</t>
    </r>
    <r>
      <rPr>
        <b/>
        <u/>
        <sz val="11"/>
        <color theme="1"/>
        <rFont val="Calibri"/>
        <family val="2"/>
        <scheme val="minor"/>
      </rPr>
      <t xml:space="preserve"> </t>
    </r>
  </si>
  <si>
    <t>Peter Lehmann Clancy's Red Blend Barossa</t>
  </si>
  <si>
    <t>Arche Fiano IGT</t>
  </si>
  <si>
    <t>Sandbanks Summer Rose Vqa*</t>
  </si>
  <si>
    <t>Sandbanks Estate Dunes White Vqa</t>
  </si>
  <si>
    <t>Sandbanks Estate Baco Noir Vqa</t>
  </si>
  <si>
    <t>Sandbanks Riesling Vqa</t>
  </si>
  <si>
    <t>Sandbanks Shoreline Cabernet Merlot Vqa</t>
  </si>
  <si>
    <t>Sandbanks Estate Shoreline White Vqa</t>
  </si>
  <si>
    <t>Sandbanks Cabernet Franc Vqa</t>
  </si>
  <si>
    <t>Sandbanks Baco Noir Reserve Vqa</t>
  </si>
  <si>
    <t>Sandbanks Rose Vqa</t>
  </si>
  <si>
    <t>Sandbanks Dunes Red Vqa</t>
  </si>
  <si>
    <t>Sandbanks Pinot Grigio Vqa</t>
  </si>
  <si>
    <t>Sandbanks Summer White Vqa</t>
  </si>
  <si>
    <t>Sandbanks Riesling-Gewurztraminer Vqa</t>
  </si>
  <si>
    <t>Sandbanks Smugglers White Vqa</t>
  </si>
  <si>
    <t>663935100452</t>
  </si>
  <si>
    <t>663935100018</t>
  </si>
  <si>
    <t>663935100032</t>
  </si>
  <si>
    <t>663935100025</t>
  </si>
  <si>
    <t>663935100322</t>
  </si>
  <si>
    <t>663935100100</t>
  </si>
  <si>
    <t>663935100049</t>
  </si>
  <si>
    <t>663935100063</t>
  </si>
  <si>
    <t>663935100131</t>
  </si>
  <si>
    <t>663935100223</t>
  </si>
  <si>
    <t>663935100261</t>
  </si>
  <si>
    <t>663935100285</t>
  </si>
  <si>
    <t>663935100384</t>
  </si>
  <si>
    <t>Producer Size changing from Mid-Size to Large; Not eligible for Wine Boutiques</t>
  </si>
  <si>
    <t>Muskoka Munich To My Ears</t>
  </si>
  <si>
    <t xml:space="preserve">Tawse Sketches of Niagara Chardonnay </t>
  </si>
  <si>
    <r>
      <t xml:space="preserve">UPC &amp; SCC Code updating: OLD UPC = 670459010433; </t>
    </r>
    <r>
      <rPr>
        <b/>
        <sz val="11"/>
        <color theme="1"/>
        <rFont val="Calibri"/>
        <family val="2"/>
        <scheme val="minor"/>
      </rPr>
      <t xml:space="preserve">NEW UPC = 670459011294 </t>
    </r>
    <r>
      <rPr>
        <sz val="11"/>
        <color theme="1"/>
        <rFont val="Calibri"/>
        <family val="2"/>
        <scheme val="minor"/>
      </rPr>
      <t xml:space="preserve">| OLD SCC = 10670459010430;  </t>
    </r>
    <r>
      <rPr>
        <b/>
        <sz val="11"/>
        <color theme="1"/>
        <rFont val="Calibri"/>
        <family val="2"/>
        <scheme val="minor"/>
      </rPr>
      <t>NEW SCC = 10670459011291</t>
    </r>
  </si>
  <si>
    <t>Unwined Smooth White</t>
  </si>
  <si>
    <t xml:space="preserve">Unwined Smooth Red </t>
  </si>
  <si>
    <t>Unwined Smooth Rose</t>
  </si>
  <si>
    <t>20 Bees Grower's White VQA</t>
  </si>
  <si>
    <t xml:space="preserve">Menage a Trois Decadence Cabernet Sauvignon </t>
  </si>
  <si>
    <t>Cupcake Red Velvet (Bag-in-Box)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</si>
  <si>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18638 ; </t>
    </r>
    <r>
      <rPr>
        <sz val="11"/>
        <color theme="1"/>
        <rFont val="Calibri"/>
        <family val="2"/>
        <scheme val="minor"/>
      </rPr>
      <t xml:space="preserve"> supplying source will remain</t>
    </r>
    <r>
      <rPr>
        <b/>
        <sz val="11"/>
        <color theme="1"/>
        <rFont val="Calibri"/>
        <family val="2"/>
        <scheme val="minor"/>
      </rPr>
      <t xml:space="preserve"> 0002 - TBS; NEW UPC =  672975229597;   NEW SCC = 10672975229594 *AVAILABLE NOW*</t>
    </r>
  </si>
  <si>
    <t>063657041567</t>
  </si>
  <si>
    <t>Saintly Sparkling Rose VQA</t>
  </si>
  <si>
    <t>Piat D'Or Chardonnay</t>
  </si>
  <si>
    <t>Ogier Heritages Cotes Du Rhone Aoc</t>
  </si>
  <si>
    <t>Dachshund Pinot Grigio, Rheinhessen</t>
  </si>
  <si>
    <t>Chateau Fongaban Cotes De Castillon Bord Org</t>
  </si>
  <si>
    <t>Smithavens Blonde Strong Ale 375ml</t>
  </si>
  <si>
    <t>Smithavens Brewing Blonde</t>
  </si>
  <si>
    <t>Left Field Brewery Rally Cap</t>
  </si>
  <si>
    <t>Corona Extra 6 Pk-B +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</si>
  <si>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17818 ; </t>
    </r>
    <r>
      <rPr>
        <sz val="11"/>
        <color theme="1"/>
        <rFont val="Calibri"/>
        <family val="2"/>
        <scheme val="minor"/>
      </rPr>
      <t>supplying source will be</t>
    </r>
    <r>
      <rPr>
        <b/>
        <sz val="11"/>
        <color theme="1"/>
        <rFont val="Calibri"/>
        <family val="2"/>
        <scheme val="minor"/>
      </rPr>
      <t xml:space="preserve"> 0002 - TBS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; NEW UPC =  062067382413;   NEW SCC = 70062067382412 *AVAILABLE NOW*</t>
    </r>
  </si>
  <si>
    <t>Black Cellar Amber</t>
  </si>
  <si>
    <r>
      <t xml:space="preserve">Discontinued by supplier </t>
    </r>
    <r>
      <rPr>
        <b/>
        <sz val="11"/>
        <color theme="1"/>
        <rFont val="Calibri"/>
        <family val="2"/>
        <scheme val="minor"/>
      </rPr>
      <t>*REVISED EFFECTIVE DATE - CHANGED FROM 11/17/20 TO 12/1/20*</t>
    </r>
  </si>
  <si>
    <t>Modelo Especial 6pk -B +</t>
  </si>
  <si>
    <t>Coronita Extra 6 Pk-B  +</t>
  </si>
  <si>
    <t>1242 mL</t>
  </si>
  <si>
    <t>Modelo Especial+</t>
  </si>
  <si>
    <t>Temporarily  discontinued - Supply issues (estimated back TBD)</t>
  </si>
  <si>
    <t>Temporarily  discontinued - Supply issues (estimated back January 2021)</t>
  </si>
  <si>
    <t>Temporarily  discontinued - Supply issues (estimated back in Mid-December)</t>
  </si>
  <si>
    <t>Muddy York Switchboard Session Ipa</t>
  </si>
  <si>
    <t>ICellars Estate Cabernet Franc VQA</t>
  </si>
  <si>
    <t>Second Wedge-High Grass Lemongrass Ginger Saison</t>
  </si>
  <si>
    <t>Society Of Beer Drinking Ladies- Hazy Session Ipa</t>
  </si>
  <si>
    <t>Collective Arts Wheat Beer With Earl Grey</t>
  </si>
  <si>
    <t>Collective Arts Hibiscus &amp; Blood Orange Sour</t>
  </si>
  <si>
    <t>Corona Extra 6pk C+</t>
  </si>
  <si>
    <t>Royal City Remembrance Red Ale</t>
  </si>
  <si>
    <t>Fullers Esb 500ml</t>
  </si>
  <si>
    <t>Temporarily discontinued due to supply chain challenges</t>
  </si>
  <si>
    <r>
      <t xml:space="preserve">SCC Code updating: OLD SCC = 3185370474181;  </t>
    </r>
    <r>
      <rPr>
        <b/>
        <sz val="11"/>
        <color theme="1"/>
        <rFont val="Calibri"/>
        <family val="2"/>
        <scheme val="minor"/>
      </rPr>
      <t>NEW SCC = 3185370660034  (no UPC change)</t>
    </r>
  </si>
  <si>
    <r>
      <t xml:space="preserve">SCC Code updating: OLD SCC = 10405392010014;  </t>
    </r>
    <r>
      <rPr>
        <b/>
        <sz val="11"/>
        <color theme="1"/>
        <rFont val="Calibri"/>
        <family val="2"/>
        <scheme val="minor"/>
      </rPr>
      <t>NEW SCC = 10405392014302 (no UPC change)</t>
    </r>
  </si>
  <si>
    <t>KEW Vineyaards Old Vine Riesling VQA</t>
  </si>
  <si>
    <t>Raven Conspiracy Deep Dark Red VQA</t>
  </si>
  <si>
    <t xml:space="preserve">Corona Extra 6 Pk-B </t>
  </si>
  <si>
    <r>
      <t xml:space="preserve">SKU replaced 186510, UPC code updated: </t>
    </r>
    <r>
      <rPr>
        <b/>
        <sz val="11"/>
        <color theme="1"/>
        <rFont val="Calibri"/>
        <family val="2"/>
        <scheme val="minor"/>
      </rPr>
      <t>NEW UPC = 062067382406 (no SCC change)</t>
    </r>
  </si>
  <si>
    <t>Eastdell Pinot Noir VQA</t>
  </si>
  <si>
    <r>
      <t xml:space="preserve">UPC &amp; SCC Code updating: OLD UPC = 874537090144; </t>
    </r>
    <r>
      <rPr>
        <b/>
        <sz val="11"/>
        <color theme="1"/>
        <rFont val="Calibri"/>
        <family val="2"/>
        <scheme val="minor"/>
      </rPr>
      <t xml:space="preserve">NEW UPC = 874537000693 </t>
    </r>
    <r>
      <rPr>
        <sz val="11"/>
        <color theme="1"/>
        <rFont val="Calibri"/>
        <family val="2"/>
        <scheme val="minor"/>
      </rPr>
      <t xml:space="preserve">| OLD SCC = 10874537090141;  </t>
    </r>
    <r>
      <rPr>
        <b/>
        <sz val="11"/>
        <color theme="1"/>
        <rFont val="Calibri"/>
        <family val="2"/>
        <scheme val="minor"/>
      </rPr>
      <t>NEW SCC = 10874537000690</t>
    </r>
  </si>
  <si>
    <t>Great Lakes Brewery Karma Citra Ipa</t>
  </si>
  <si>
    <t>Frisky Beaver Chardonnay VQA</t>
  </si>
  <si>
    <t>G. Marquis The Red Line Sauvignon Blanc VQA</t>
  </si>
  <si>
    <t>J.P. Chenet Prem De Cuvee Mer Cab Pays D'Oc</t>
  </si>
  <si>
    <t>Skipping Stone White VQA</t>
  </si>
  <si>
    <t>Haliburton Highlands Brewing Belgian Rye Porter</t>
  </si>
  <si>
    <t>Haliburton Highlands Brewing Honey Brown Ale</t>
  </si>
  <si>
    <t>Haliburton Highlands Brewing Summer Wheat</t>
  </si>
  <si>
    <t>Lake Of Bays Toasty Toes Taster Pack*</t>
  </si>
  <si>
    <t>Railway City - Train Reaction Cerveza</t>
  </si>
  <si>
    <t>Mill St Essentials Mix Pack (Spring Summer 2020)</t>
  </si>
  <si>
    <t>Anderson Juicy Ipa</t>
  </si>
  <si>
    <t>Slow Press Cabernet Sauvignon</t>
  </si>
  <si>
    <t>Kacaba Cabernet VQA</t>
  </si>
  <si>
    <r>
      <t xml:space="preserve">UPC &amp; SCC Code updating: OLD UPC = 653341690500; </t>
    </r>
    <r>
      <rPr>
        <b/>
        <sz val="11"/>
        <color theme="1"/>
        <rFont val="Calibri"/>
        <family val="2"/>
        <scheme val="minor"/>
      </rPr>
      <t xml:space="preserve">NEW UPC = 836460000010 </t>
    </r>
    <r>
      <rPr>
        <sz val="11"/>
        <color theme="1"/>
        <rFont val="Calibri"/>
        <family val="2"/>
        <scheme val="minor"/>
      </rPr>
      <t xml:space="preserve">| OLD SCC = 10653341690507;  </t>
    </r>
    <r>
      <rPr>
        <b/>
        <sz val="11"/>
        <color theme="1"/>
        <rFont val="Calibri"/>
        <family val="2"/>
        <scheme val="minor"/>
      </rPr>
      <t>NEW SCC = 10836460000017</t>
    </r>
  </si>
  <si>
    <t>Corona Light 6 Pk-B+</t>
  </si>
  <si>
    <t>Stel + Mar Premium Rose Tetra (24x500mL)</t>
  </si>
  <si>
    <t xml:space="preserve">The Pavillion Shiraz Cabernet Sauvignon </t>
  </si>
  <si>
    <t xml:space="preserve">The Pavillion Chenin Blanc </t>
  </si>
  <si>
    <t>Stella Artois 6-Pk B</t>
  </si>
  <si>
    <r>
      <t xml:space="preserve">UPC Code Update: OLD UPC = 062067382222; </t>
    </r>
    <r>
      <rPr>
        <b/>
        <sz val="11"/>
        <color theme="1"/>
        <rFont val="Calibri"/>
        <family val="2"/>
        <scheme val="minor"/>
      </rPr>
      <t>NEW UPC = 062067382291</t>
    </r>
  </si>
  <si>
    <t>Exchange Brewery Rosa</t>
  </si>
  <si>
    <t>Temporarily discontinued due to supply chain challenges (estimated back February 2021)</t>
  </si>
  <si>
    <t>Gentleman's Collection Cabernet Sauvignon</t>
  </si>
  <si>
    <t>Fleur Du Cap Cabernet Sauvignon</t>
  </si>
  <si>
    <t xml:space="preserve">Pascual Toso Chardonnay </t>
  </si>
  <si>
    <t>Wolf Blass Yellow Label Pinot Noir</t>
  </si>
  <si>
    <t>Root 1 Sauvignon Blanc</t>
  </si>
  <si>
    <t>Waltzing Matilda Shiraz Grenache</t>
  </si>
  <si>
    <t>Cusumano Nero D'Avola Terre Sicilane Igt</t>
  </si>
  <si>
    <r>
      <t xml:space="preserve">Temporarily  discontinued - Supply issues </t>
    </r>
    <r>
      <rPr>
        <strike/>
        <sz val="11"/>
        <color theme="1"/>
        <rFont val="Calibri"/>
        <family val="2"/>
        <scheme val="minor"/>
      </rPr>
      <t xml:space="preserve">(estimated back in Mid-December) </t>
    </r>
    <r>
      <rPr>
        <sz val="11"/>
        <color theme="1"/>
        <rFont val="Calibri"/>
        <family val="2"/>
        <scheme val="minor"/>
      </rPr>
      <t xml:space="preserve">   **</t>
    </r>
    <r>
      <rPr>
        <b/>
        <sz val="11"/>
        <color theme="1"/>
        <rFont val="Calibri"/>
        <family val="2"/>
        <scheme val="minor"/>
      </rPr>
      <t>REVISED -: estimated back January 2021</t>
    </r>
  </si>
  <si>
    <t>Cool Millenium Buzz 4pk-C</t>
  </si>
  <si>
    <t>Cool Millenium Buzz 4pk-B</t>
  </si>
  <si>
    <t>Cool Millenium Buzz 355-C</t>
  </si>
  <si>
    <t>Sorachi Lager</t>
  </si>
  <si>
    <t>product name updated to "Duggans Sorachi Lager"</t>
  </si>
  <si>
    <t>product name updated to  "Buzz Hemp Beer 4pk-Cans"</t>
  </si>
  <si>
    <t>product name updated to "Buzz Hemp Beer 4pk-Bottles"</t>
  </si>
  <si>
    <t>product name updated to "Buzz Hemp Beer 355mL Cans"</t>
  </si>
  <si>
    <t>Red Racer Northwest Pale Ale</t>
  </si>
  <si>
    <t>Broadhead Blueberry Blonde</t>
  </si>
  <si>
    <r>
      <t xml:space="preserve">UPC code updated: OLD UPC = 012652000024; </t>
    </r>
    <r>
      <rPr>
        <b/>
        <sz val="11"/>
        <color theme="1"/>
        <rFont val="Calibri"/>
        <family val="2"/>
        <scheme val="minor"/>
      </rPr>
      <t>NEW UPC = 812652000020 (no SCC change)</t>
    </r>
  </si>
  <si>
    <r>
      <t xml:space="preserve">UPC &amp; SCC Code updating: OLD UPC = 4004866222312; </t>
    </r>
    <r>
      <rPr>
        <b/>
        <sz val="11"/>
        <color theme="1"/>
        <rFont val="Calibri"/>
        <family val="2"/>
        <scheme val="minor"/>
      </rPr>
      <t xml:space="preserve">NEW UPC = 4004866222329 </t>
    </r>
    <r>
      <rPr>
        <sz val="11"/>
        <color theme="1"/>
        <rFont val="Calibri"/>
        <family val="2"/>
        <scheme val="minor"/>
      </rPr>
      <t xml:space="preserve">| OLD SCC = 14004866222319;  </t>
    </r>
    <r>
      <rPr>
        <b/>
        <sz val="11"/>
        <color theme="1"/>
        <rFont val="Calibri"/>
        <family val="2"/>
        <scheme val="minor"/>
      </rPr>
      <t>NEW SCC = 14004866222319</t>
    </r>
  </si>
  <si>
    <t>1/5/2021</t>
  </si>
  <si>
    <t xml:space="preserve">Tawse Limestone Ridge Sparkling Riesling VQA </t>
  </si>
  <si>
    <r>
      <t xml:space="preserve">UPC &amp; SCC Code updating: OLD UPC = 670459010334; </t>
    </r>
    <r>
      <rPr>
        <b/>
        <sz val="11"/>
        <color theme="1"/>
        <rFont val="Calibri"/>
        <family val="2"/>
        <scheme val="minor"/>
      </rPr>
      <t xml:space="preserve">NEW UPC = 670459011300 </t>
    </r>
    <r>
      <rPr>
        <sz val="11"/>
        <color theme="1"/>
        <rFont val="Calibri"/>
        <family val="2"/>
        <scheme val="minor"/>
      </rPr>
      <t xml:space="preserve">| OLD SCC = 10670459010331;  </t>
    </r>
    <r>
      <rPr>
        <b/>
        <sz val="11"/>
        <color theme="1"/>
        <rFont val="Calibri"/>
        <family val="2"/>
        <scheme val="minor"/>
      </rPr>
      <t>NEW SCC = 10670459011307</t>
    </r>
  </si>
  <si>
    <t>Corona 6 Pk-Tc+</t>
  </si>
  <si>
    <t xml:space="preserve">LAGUNITAS IPA+ </t>
  </si>
  <si>
    <t>723830000094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</si>
  <si>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17817 ; </t>
    </r>
    <r>
      <rPr>
        <sz val="11"/>
        <color theme="1"/>
        <rFont val="Calibri"/>
        <family val="2"/>
        <scheme val="minor"/>
      </rPr>
      <t>supplying source will be</t>
    </r>
    <r>
      <rPr>
        <b/>
        <sz val="11"/>
        <color theme="1"/>
        <rFont val="Calibri"/>
        <family val="2"/>
        <scheme val="minor"/>
      </rPr>
      <t xml:space="preserve"> 0002 - TBS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; NEW UPC =  062067382345;   NEW SCC = 70062067382344 </t>
    </r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</si>
  <si>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17846 ; </t>
    </r>
    <r>
      <rPr>
        <sz val="11"/>
        <color theme="1"/>
        <rFont val="Calibri"/>
        <family val="2"/>
        <scheme val="minor"/>
      </rPr>
      <t>supplying source will be</t>
    </r>
    <r>
      <rPr>
        <b/>
        <sz val="11"/>
        <color theme="1"/>
        <rFont val="Calibri"/>
        <family val="2"/>
        <scheme val="minor"/>
      </rPr>
      <t xml:space="preserve"> 0002 - TBS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; NEW UPC =  062067382376;  NEW SCC = 70062067382375 </t>
    </r>
  </si>
  <si>
    <t xml:space="preserve">Pelee Island Nest Pinot Noir </t>
  </si>
  <si>
    <t>1/12/2021</t>
  </si>
  <si>
    <t xml:space="preserve">Temporarily  discontinued </t>
  </si>
  <si>
    <t xml:space="preserve">MacLean's Cherry Porter </t>
  </si>
  <si>
    <t>627843091158</t>
  </si>
  <si>
    <t xml:space="preserve">ERNEST BUMBLEBERRY CIDER </t>
  </si>
  <si>
    <t xml:space="preserve">0628451939153 </t>
  </si>
  <si>
    <t>Discontinued- Seasonal product</t>
  </si>
  <si>
    <t>Tawse Grower's Blend Cabernet Franc VQA</t>
  </si>
  <si>
    <r>
      <t xml:space="preserve">UPC &amp; SCC Code updating: OLD UPC = 670459010662; </t>
    </r>
    <r>
      <rPr>
        <b/>
        <sz val="11"/>
        <color theme="1"/>
        <rFont val="Calibri"/>
        <family val="2"/>
        <scheme val="minor"/>
      </rPr>
      <t xml:space="preserve">NEW UPC = 670459011096 </t>
    </r>
    <r>
      <rPr>
        <sz val="11"/>
        <color theme="1"/>
        <rFont val="Calibri"/>
        <family val="2"/>
        <scheme val="minor"/>
      </rPr>
      <t xml:space="preserve">| OLD SCC = 10670459010669;  </t>
    </r>
    <r>
      <rPr>
        <b/>
        <sz val="11"/>
        <color theme="1"/>
        <rFont val="Calibri"/>
        <family val="2"/>
        <scheme val="minor"/>
      </rPr>
      <t>NEW SCC = 10670459011093</t>
    </r>
  </si>
  <si>
    <t xml:space="preserve">Fern Walk Sauvignon Blanc VQA </t>
  </si>
  <si>
    <t xml:space="preserve">Stonechurch Small Talk Burning Ambition White VQA </t>
  </si>
  <si>
    <t>Black Cellar Sauvignon Blanc</t>
  </si>
  <si>
    <t>Red Racer Session Ipa</t>
  </si>
  <si>
    <r>
      <t xml:space="preserve">UPC &amp; SCC Code updating: OLD UPC = 628113006315;  </t>
    </r>
    <r>
      <rPr>
        <b/>
        <sz val="11"/>
        <color theme="1"/>
        <rFont val="Calibri"/>
        <family val="2"/>
        <scheme val="minor"/>
      </rPr>
      <t xml:space="preserve">NEW UPC = 628113006308 </t>
    </r>
    <r>
      <rPr>
        <sz val="11"/>
        <color theme="1"/>
        <rFont val="Calibri"/>
        <family val="2"/>
        <scheme val="minor"/>
      </rPr>
      <t xml:space="preserve">| OLD SCC = 10628113006312;  </t>
    </r>
    <r>
      <rPr>
        <b/>
        <sz val="11"/>
        <color theme="1"/>
        <rFont val="Calibri"/>
        <family val="2"/>
        <scheme val="minor"/>
      </rPr>
      <t>NEW SCC = 10628113006305</t>
    </r>
  </si>
  <si>
    <t>Wellington Brewery Collaboration Mix Pack</t>
  </si>
  <si>
    <t>Bobcaygeon Birch Bark White Ipa</t>
  </si>
  <si>
    <t>492488 Eco Red Bag in Box</t>
  </si>
  <si>
    <t>3000mL</t>
  </si>
  <si>
    <t>Bell City Coffee Ipa</t>
  </si>
  <si>
    <t>Muskoka Hop Blaster Sour Cherry Ipa</t>
  </si>
  <si>
    <t>Laker Strong Lager Beer 6 Pk-B</t>
  </si>
  <si>
    <t>Bud Light Radler</t>
  </si>
  <si>
    <t>Bud Light Radler +</t>
  </si>
  <si>
    <t>Bud Light Orange</t>
  </si>
  <si>
    <t>Bud Light Lemonade Radler</t>
  </si>
  <si>
    <t>Labatt Blue Stubby</t>
  </si>
  <si>
    <t>Budweiser Stubby Bottles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</si>
  <si>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17853 ; </t>
    </r>
    <r>
      <rPr>
        <sz val="11"/>
        <color theme="1"/>
        <rFont val="Calibri"/>
        <family val="2"/>
        <scheme val="minor"/>
      </rPr>
      <t>supplying source will be</t>
    </r>
    <r>
      <rPr>
        <b/>
        <sz val="11"/>
        <color theme="1"/>
        <rFont val="Calibri"/>
        <family val="2"/>
        <scheme val="minor"/>
      </rPr>
      <t xml:space="preserve"> 0002 - TBS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; NEW UPC =  062067382338;   NEW SCC = 062067382352 *will be available JANUARY 22nd* </t>
    </r>
    <r>
      <rPr>
        <b/>
        <u/>
        <sz val="11"/>
        <color theme="1"/>
        <rFont val="Calibri"/>
        <family val="2"/>
        <scheme val="minor"/>
      </rPr>
      <t xml:space="preserve">REVISED - 191874 will be discontinued FEBRUARY 8th </t>
    </r>
  </si>
  <si>
    <t>Beau's Lug Tread 473ml Can</t>
  </si>
  <si>
    <t>Beau's Lug Tread 6pk Cans</t>
  </si>
  <si>
    <t>Beau's Country Vibes Amber Lagered Ale</t>
  </si>
  <si>
    <t>Beau's Wag The Wolf White Ipa</t>
  </si>
  <si>
    <t>Villa Wolf Pinot Noir Pfalz</t>
  </si>
  <si>
    <t>Castillo De Monseran Mal De Ojo</t>
  </si>
  <si>
    <t>Clarity Crystal White VQA</t>
  </si>
  <si>
    <t xml:space="preserve">Trivento Malbec Reserve </t>
  </si>
  <si>
    <t>Hop City Barking Squirrel Lager 6-Pk B</t>
  </si>
  <si>
    <t>Moosehead Breweries Anniversary Ale</t>
  </si>
  <si>
    <t>John Sleeman Presents - India Pale Ale 6-B</t>
  </si>
  <si>
    <t>Sleeman Cream Ale</t>
  </si>
  <si>
    <t>Okanagan Pale Ale 473ml Can</t>
  </si>
  <si>
    <t>Okanagan 1516 Bavarian Lager 473ml Can</t>
  </si>
  <si>
    <t>John Sleeman Presents Fine Porter</t>
  </si>
  <si>
    <t>Sleeman Pier Point</t>
  </si>
  <si>
    <t>Sleeman Honey Brown Lager 6 Pk-B</t>
  </si>
  <si>
    <t>Unibroue Tout Le Monde</t>
  </si>
  <si>
    <t>Asahi Super Dry+</t>
  </si>
  <si>
    <t>Carling 6 Pk-C</t>
  </si>
  <si>
    <t>Rolling Rock 6-Pk-B</t>
  </si>
  <si>
    <t>Goose Island Rambler</t>
  </si>
  <si>
    <t>Goose Island Mixer Pack</t>
  </si>
  <si>
    <t>Shock Top Belgian White</t>
  </si>
  <si>
    <t>Lakeport Pilsener 6 Pk-B</t>
  </si>
  <si>
    <t>Waterloo Smoked Applewood Roggenbier</t>
  </si>
  <si>
    <t>Waterloo Sampler Pack</t>
  </si>
  <si>
    <t>Waterloo Blueberry Weizenbier +</t>
  </si>
  <si>
    <t>Waterloo Dark  6x341ml</t>
  </si>
  <si>
    <t>Kichesippi Natural Blonde</t>
  </si>
  <si>
    <t xml:space="preserve">McMichael Collection Cabernet Merlot </t>
  </si>
  <si>
    <t>Mill Street Backpack W/Organic Lager</t>
  </si>
  <si>
    <t>086003841857</t>
  </si>
  <si>
    <t>Woodbridge by Robert Mondavi White Zinfandel</t>
  </si>
  <si>
    <r>
      <t xml:space="preserve">UPC Code Updated: OLD UPC = 5060006410031; </t>
    </r>
    <r>
      <rPr>
        <b/>
        <sz val="11"/>
        <color theme="1"/>
        <rFont val="Calibri"/>
        <family val="2"/>
        <scheme val="minor"/>
      </rPr>
      <t xml:space="preserve">NEW UPC =  </t>
    </r>
    <r>
      <rPr>
        <b/>
        <strike/>
        <sz val="11"/>
        <color theme="1"/>
        <rFont val="Calibri"/>
        <family val="2"/>
        <scheme val="minor"/>
      </rPr>
      <t>05060006410079</t>
    </r>
    <r>
      <rPr>
        <b/>
        <sz val="11"/>
        <color theme="1"/>
        <rFont val="Calibri"/>
        <family val="2"/>
        <scheme val="minor"/>
      </rPr>
      <t xml:space="preserve">  * CORRECTION, NEW UPC =  8008440049186</t>
    </r>
    <r>
      <rPr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(no change to SCC)</t>
    </r>
  </si>
  <si>
    <t>Lake Wilcox Brewing Lakehouse Craft Lager +</t>
  </si>
  <si>
    <t>Masi Modello Pinot Grigio Delle Venezie</t>
  </si>
  <si>
    <t>SCC code updated: OLD UPC = 08002062010814; NEW SCC = 8002062011118 (no UPC change)</t>
  </si>
  <si>
    <t>Fuller London Pride +</t>
  </si>
  <si>
    <t>Fuller Esb +</t>
  </si>
  <si>
    <t>Grolsch 6 Pk-C+</t>
  </si>
  <si>
    <t>Plush White VQA</t>
  </si>
  <si>
    <t>Plush Red VQA</t>
  </si>
  <si>
    <t>Asahi Super Dry 6pk-B</t>
  </si>
  <si>
    <r>
      <t xml:space="preserve">SCC Code Updated: OLD SCC = 05060006410079; </t>
    </r>
    <r>
      <rPr>
        <b/>
        <sz val="11"/>
        <color theme="1"/>
        <rFont val="Calibri"/>
        <family val="2"/>
        <scheme val="minor"/>
      </rPr>
      <t>NEW SCC = 08008440149107</t>
    </r>
  </si>
  <si>
    <r>
      <t xml:space="preserve">UPC &amp; SCC Code updated: OLD UPC = 8855366005600;  </t>
    </r>
    <r>
      <rPr>
        <b/>
        <sz val="11"/>
        <color theme="1"/>
        <rFont val="Calibri"/>
        <family val="2"/>
        <scheme val="minor"/>
      </rPr>
      <t xml:space="preserve">NEW UPC = 8008440249104 </t>
    </r>
    <r>
      <rPr>
        <sz val="11"/>
        <color theme="1"/>
        <rFont val="Calibri"/>
        <family val="2"/>
        <scheme val="minor"/>
      </rPr>
      <t xml:space="preserve">| OLD SCC = 18855366006604;  </t>
    </r>
    <r>
      <rPr>
        <b/>
        <sz val="11"/>
        <color theme="1"/>
        <rFont val="Calibri"/>
        <family val="2"/>
        <scheme val="minor"/>
      </rPr>
      <t>NEW SCC = 08008440149244</t>
    </r>
  </si>
  <si>
    <t>Blue Nun 24K Sparkling</t>
  </si>
  <si>
    <r>
      <t xml:space="preserve">UPC &amp; SCC Code updated: OLD UPC = 4022025372036;  </t>
    </r>
    <r>
      <rPr>
        <b/>
        <sz val="11"/>
        <color theme="1"/>
        <rFont val="Calibri"/>
        <family val="2"/>
        <scheme val="minor"/>
      </rPr>
      <t xml:space="preserve">NEW UPC = 707596370035 </t>
    </r>
    <r>
      <rPr>
        <sz val="11"/>
        <color theme="1"/>
        <rFont val="Calibri"/>
        <family val="2"/>
        <scheme val="minor"/>
      </rPr>
      <t xml:space="preserve">| OLD SCC 4022025372593;  </t>
    </r>
    <r>
      <rPr>
        <b/>
        <sz val="11"/>
        <color theme="1"/>
        <rFont val="Calibri"/>
        <family val="2"/>
        <scheme val="minor"/>
      </rPr>
      <t>NEW SCC = 10707596370599</t>
    </r>
  </si>
  <si>
    <t>Railway City Brewing - Steampunk Mixed Berry Sour</t>
  </si>
  <si>
    <t>Discontinued by Supplier</t>
  </si>
  <si>
    <t>UPC code updated: OLD UPC = 052338000016; NEW UPC = 628451494010 (no SCC change)</t>
  </si>
  <si>
    <t>Rood Apples Cider</t>
  </si>
  <si>
    <t>Temporarily discontinued by Supplier</t>
  </si>
  <si>
    <t>Beaulieu Vineyards Coastal Estates Cabernet Sauvignon</t>
  </si>
  <si>
    <t>Aquinas Pinot Noir</t>
  </si>
  <si>
    <t>Eco White Bag in a Box</t>
  </si>
  <si>
    <t>Pink House Wine Co. Rose VQA Can</t>
  </si>
  <si>
    <t>Ravage Cabernet Sauvignon</t>
  </si>
  <si>
    <t>Perth Brewery Crandemonium Cranberry Radler</t>
  </si>
  <si>
    <t>Exchange Brewery White Ipa</t>
  </si>
  <si>
    <t>Exchange Brewery Throwback</t>
  </si>
  <si>
    <t>Wellington Brewery Big Chill Ipa</t>
  </si>
  <si>
    <t>Wellington Brewery Mix Pack Vol 9</t>
  </si>
  <si>
    <r>
      <t xml:space="preserve">UPC &amp; SCC Code updated: OLD UPC = 670459010808;  </t>
    </r>
    <r>
      <rPr>
        <b/>
        <sz val="11"/>
        <color theme="1"/>
        <rFont val="Calibri"/>
        <family val="2"/>
        <scheme val="minor"/>
      </rPr>
      <t xml:space="preserve">NEW UPC = 670459011379 </t>
    </r>
    <r>
      <rPr>
        <sz val="11"/>
        <color theme="1"/>
        <rFont val="Calibri"/>
        <family val="2"/>
        <scheme val="minor"/>
      </rPr>
      <t xml:space="preserve">| OLD SCC 10670459010805;  </t>
    </r>
    <r>
      <rPr>
        <b/>
        <sz val="11"/>
        <color theme="1"/>
        <rFont val="Calibri"/>
        <family val="2"/>
        <scheme val="minor"/>
      </rPr>
      <t>NEW SCC = 10670459011376</t>
    </r>
  </si>
  <si>
    <t>19 Crimes Hard Chard</t>
  </si>
  <si>
    <t>012354001947</t>
  </si>
  <si>
    <t>Longslice Brewery Slam Dunkel Weizen</t>
  </si>
  <si>
    <t>Sol 6 Pk-B +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</si>
  <si>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>19442</t>
    </r>
    <r>
      <rPr>
        <sz val="11"/>
        <color theme="1"/>
        <rFont val="Calibri"/>
        <family val="2"/>
        <scheme val="minor"/>
      </rPr>
      <t xml:space="preserve">  supplying source will be 0002 - TBS ;</t>
    </r>
    <r>
      <rPr>
        <b/>
        <sz val="11"/>
        <color theme="1"/>
        <rFont val="Calibri"/>
        <family val="2"/>
        <scheme val="minor"/>
      </rPr>
      <t xml:space="preserve"> NEW UPC =  056327017702;   NEW SCC = 10056327017709 *will be available MARCH 16th</t>
    </r>
  </si>
  <si>
    <t>Canatara! Berliner Weisse</t>
  </si>
  <si>
    <t>Cherry Troll Cherry Cream Ale</t>
  </si>
  <si>
    <t>Propeller Ipa</t>
  </si>
  <si>
    <t>Trash Panda Hazy Ipa</t>
  </si>
  <si>
    <t>Marston's 61 Deep Pale Ale</t>
  </si>
  <si>
    <t>Lickinghole Creek Nine Mile Ipa</t>
  </si>
  <si>
    <t>Hop City Hopbot Ipa</t>
  </si>
  <si>
    <t>Beau's Lug Tread 2.5%</t>
  </si>
  <si>
    <t>Refined Fool Can Of Beans Coffee Blonde</t>
  </si>
  <si>
    <t>Chateau Des Charmes Riesling Estate Bottled Vqa</t>
  </si>
  <si>
    <t>Vineland Estates Vidal Vqa</t>
  </si>
  <si>
    <r>
      <t xml:space="preserve">SCC Code Updated: OLD SCC = 08002062010821; </t>
    </r>
    <r>
      <rPr>
        <b/>
        <sz val="11"/>
        <color theme="1"/>
        <rFont val="Calibri"/>
        <family val="2"/>
        <scheme val="minor"/>
      </rPr>
      <t xml:space="preserve">NEW SCC = 08002062011156 </t>
    </r>
    <r>
      <rPr>
        <sz val="11"/>
        <color theme="1"/>
        <rFont val="Calibri"/>
        <family val="2"/>
        <scheme val="minor"/>
      </rPr>
      <t>(no UPC change)</t>
    </r>
  </si>
  <si>
    <t>Great Lakes Canuck Pale Ale</t>
  </si>
  <si>
    <t>Great Lakes Pompous Ass</t>
  </si>
  <si>
    <t xml:space="preserve">625640226728 </t>
  </si>
  <si>
    <r>
      <t xml:space="preserve">SCC Code Updated: OLD SCC = 80625640226724 ; </t>
    </r>
    <r>
      <rPr>
        <b/>
        <sz val="11"/>
        <color theme="1"/>
        <rFont val="Calibri"/>
        <family val="2"/>
        <scheme val="minor"/>
      </rPr>
      <t xml:space="preserve">NEW SCC = 10625640226725  </t>
    </r>
    <r>
      <rPr>
        <sz val="11"/>
        <color theme="1"/>
        <rFont val="Calibri"/>
        <family val="2"/>
        <scheme val="minor"/>
      </rPr>
      <t>(no UPC change)</t>
    </r>
  </si>
  <si>
    <t xml:space="preserve">625640047330 </t>
  </si>
  <si>
    <r>
      <t xml:space="preserve">SCC Code Updated: OLD SCC = 80625640047336; </t>
    </r>
    <r>
      <rPr>
        <b/>
        <sz val="11"/>
        <color theme="1"/>
        <rFont val="Calibri"/>
        <family val="2"/>
        <scheme val="minor"/>
      </rPr>
      <t xml:space="preserve">NEW SCC = 10625640047337 </t>
    </r>
    <r>
      <rPr>
        <sz val="11"/>
        <color theme="1"/>
        <rFont val="Calibri"/>
        <family val="2"/>
        <scheme val="minor"/>
      </rPr>
      <t>(no UPC change)</t>
    </r>
  </si>
  <si>
    <t xml:space="preserve">625640306512 </t>
  </si>
  <si>
    <r>
      <t xml:space="preserve">SCC Code Updated: OLD SCC =  80625640306518; </t>
    </r>
    <r>
      <rPr>
        <b/>
        <sz val="11"/>
        <color theme="1"/>
        <rFont val="Calibri"/>
        <family val="2"/>
        <scheme val="minor"/>
      </rPr>
      <t xml:space="preserve">NEW SCC = 10625640306519 </t>
    </r>
    <r>
      <rPr>
        <sz val="11"/>
        <color theme="1"/>
        <rFont val="Calibri"/>
        <family val="2"/>
        <scheme val="minor"/>
      </rPr>
      <t>(no UPC change)</t>
    </r>
  </si>
  <si>
    <t>No Boats On Sunday Mixed Berry Cider</t>
  </si>
  <si>
    <t>Wayne Gretzky No. 99 Session Ale</t>
  </si>
  <si>
    <t>Mackeson Stout 6 Pk-B+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</si>
  <si>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19269 </t>
    </r>
    <r>
      <rPr>
        <sz val="11"/>
        <color theme="1"/>
        <rFont val="Calibri"/>
        <family val="2"/>
        <scheme val="minor"/>
      </rPr>
      <t xml:space="preserve"> supplying source will remain 0002 - TBS ;</t>
    </r>
    <r>
      <rPr>
        <b/>
        <sz val="11"/>
        <color theme="1"/>
        <rFont val="Calibri"/>
        <family val="2"/>
        <scheme val="minor"/>
      </rPr>
      <t xml:space="preserve"> NEW UPC =  672975229627;   NEW SCC = 10672975229624</t>
    </r>
  </si>
  <si>
    <t>Collective Arts Mix Six</t>
  </si>
  <si>
    <t>Old Tomorrow Double Up Coffee Milk Stout</t>
  </si>
  <si>
    <t>Stiegl Alpine Pack</t>
  </si>
  <si>
    <t>Bobcaygeon Brewing Backyard All-Ontario Lager</t>
  </si>
  <si>
    <t>Konzelmann Merlot VQA</t>
  </si>
  <si>
    <r>
      <t xml:space="preserve">UPC &amp; SCC Code updated: OLD UPC = 624654000270;  </t>
    </r>
    <r>
      <rPr>
        <b/>
        <sz val="11"/>
        <color theme="1"/>
        <rFont val="Calibri"/>
        <family val="2"/>
        <scheme val="minor"/>
      </rPr>
      <t xml:space="preserve">NEW UPC = 624654001017 </t>
    </r>
    <r>
      <rPr>
        <sz val="11"/>
        <color theme="1"/>
        <rFont val="Calibri"/>
        <family val="2"/>
        <scheme val="minor"/>
      </rPr>
      <t xml:space="preserve">| OLD SCC 10624654000277;  </t>
    </r>
    <r>
      <rPr>
        <b/>
        <sz val="11"/>
        <color theme="1"/>
        <rFont val="Calibri"/>
        <family val="2"/>
        <scheme val="minor"/>
      </rPr>
      <t>NEW SCC = 10624654001014</t>
    </r>
  </si>
  <si>
    <t>Parsons Brewing Westy Pale Ale</t>
  </si>
  <si>
    <t>Refined Fool Brewing Troll Toll Cream Ale</t>
  </si>
  <si>
    <r>
      <t xml:space="preserve">Product Name Changed: old name Refined Fool Brewing Troll Toll Cream Ale; </t>
    </r>
    <r>
      <rPr>
        <b/>
        <sz val="11"/>
        <color theme="1"/>
        <rFont val="Calibri"/>
        <family val="2"/>
        <scheme val="minor"/>
      </rPr>
      <t>NEW NAME: Refined Fool Cabin Jeans Cream Ale 4x473   (no UPC or SCC change)</t>
    </r>
  </si>
  <si>
    <t>Beyond The Pale Clean Cut</t>
  </si>
  <si>
    <r>
      <t xml:space="preserve">UPC &amp; SCC Code updating: OLD UPC = 052338000061;  </t>
    </r>
    <r>
      <rPr>
        <b/>
        <sz val="11"/>
        <color theme="1"/>
        <rFont val="Calibri"/>
        <family val="2"/>
        <scheme val="minor"/>
      </rPr>
      <t xml:space="preserve">NEW UPC = 628451494065 </t>
    </r>
    <r>
      <rPr>
        <sz val="11"/>
        <color theme="1"/>
        <rFont val="Calibri"/>
        <family val="2"/>
        <scheme val="minor"/>
      </rPr>
      <t xml:space="preserve">| OLD SCC 05233800006186;  </t>
    </r>
    <r>
      <rPr>
        <b/>
        <sz val="11"/>
        <color theme="1"/>
        <rFont val="Calibri"/>
        <family val="2"/>
        <scheme val="minor"/>
      </rPr>
      <t>NEW SCC = 10628451494062</t>
    </r>
  </si>
  <si>
    <t>Big House The Birdman Pinot Grigio Can</t>
  </si>
  <si>
    <t>Big House Cardinal Zin Can</t>
  </si>
  <si>
    <t>Trius Barrel Fermented Chardonnay VQA</t>
  </si>
  <si>
    <t>Trius Late Autumn Off Dry Riesling VQA</t>
  </si>
  <si>
    <t xml:space="preserve">Masi Modello Merlot </t>
  </si>
  <si>
    <r>
      <t xml:space="preserve">SCC Code Updated: OLD SCC = 08002062010869; </t>
    </r>
    <r>
      <rPr>
        <b/>
        <sz val="11"/>
        <color theme="1"/>
        <rFont val="Calibri"/>
        <family val="2"/>
        <scheme val="minor"/>
      </rPr>
      <t xml:space="preserve">NEW SCC = 08002062011309 </t>
    </r>
    <r>
      <rPr>
        <sz val="11"/>
        <color theme="1"/>
        <rFont val="Calibri"/>
        <family val="2"/>
        <scheme val="minor"/>
      </rPr>
      <t>(no UPC change)</t>
    </r>
  </si>
  <si>
    <t>Cracked Canoe Single Can+</t>
  </si>
  <si>
    <r>
      <t>Discontinued by Supplier: Selling Units Per Case changing from 12 to 24. New SKU will be</t>
    </r>
    <r>
      <rPr>
        <b/>
        <sz val="11"/>
        <color theme="1"/>
        <rFont val="Calibri"/>
        <family val="2"/>
        <scheme val="minor"/>
      </rPr>
      <t xml:space="preserve"> 20961. NEW SCC  = 776029705607 </t>
    </r>
    <r>
      <rPr>
        <sz val="11"/>
        <color theme="1"/>
        <rFont val="Calibri"/>
        <family val="2"/>
        <scheme val="minor"/>
      </rPr>
      <t xml:space="preserve">(no UPC Change) </t>
    </r>
  </si>
  <si>
    <t>The Boss - East Coast Ipa</t>
  </si>
  <si>
    <t>VINELAND GAME CHANGER ROSE THE MEMORY VQA</t>
  </si>
  <si>
    <t>14 CABERNET ELEVATION (VINELAND)</t>
  </si>
  <si>
    <t>15 GAMECHANGER WHITE ELEGANT AND CLASSY (VINELAND)</t>
  </si>
  <si>
    <t>VINELAND ESTATES DRY RIESLING VQA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</si>
  <si>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19268 </t>
    </r>
    <r>
      <rPr>
        <sz val="11"/>
        <color theme="1"/>
        <rFont val="Calibri"/>
        <family val="2"/>
        <scheme val="minor"/>
      </rPr>
      <t xml:space="preserve"> supplying source will remain 0002 - TBS ;</t>
    </r>
    <r>
      <rPr>
        <b/>
        <sz val="11"/>
        <color theme="1"/>
        <rFont val="Calibri"/>
        <family val="2"/>
        <scheme val="minor"/>
      </rPr>
      <t xml:space="preserve"> NEW UPC =  672975229603;   NEW SCC = 10672975229600. New SKU available to ship April 12th</t>
    </r>
  </si>
  <si>
    <t>Kichesippi Corktown Stout</t>
  </si>
  <si>
    <t>Original Organic Lager 4 X 355ml</t>
  </si>
  <si>
    <t>Mill Street Rodeo Monk Hazy Ipa</t>
  </si>
  <si>
    <t>Gaffel Kolsch</t>
  </si>
  <si>
    <r>
      <t xml:space="preserve">UPC &amp; SCC Code updating: OLD UPC = 4002208017404;  </t>
    </r>
    <r>
      <rPr>
        <b/>
        <sz val="11"/>
        <color theme="1"/>
        <rFont val="Calibri"/>
        <family val="2"/>
        <scheme val="minor"/>
      </rPr>
      <t xml:space="preserve">NEW UPC = 4002208017473 </t>
    </r>
    <r>
      <rPr>
        <sz val="11"/>
        <color theme="1"/>
        <rFont val="Calibri"/>
        <family val="2"/>
        <scheme val="minor"/>
      </rPr>
      <t xml:space="preserve">| OLD SCC 4002208001915;  </t>
    </r>
    <r>
      <rPr>
        <b/>
        <sz val="11"/>
        <color theme="1"/>
        <rFont val="Calibri"/>
        <family val="2"/>
        <scheme val="minor"/>
      </rPr>
      <t>NEW SCC = 04002208017480</t>
    </r>
  </si>
  <si>
    <t>Bellwoods - Jelly King Raspberry &amp; Blackberry Sour</t>
  </si>
  <si>
    <t>0020035</t>
  </si>
  <si>
    <t>No. 99 Hazy Ipa Wayne Gretzky Craft Brewing Ipa</t>
  </si>
  <si>
    <t>627167100901</t>
  </si>
  <si>
    <t>0020036</t>
  </si>
  <si>
    <t>No. 99 Hazy Pilsner Wayne Gretzky Craft Brewing</t>
  </si>
  <si>
    <t>627167100932</t>
  </si>
  <si>
    <r>
      <t xml:space="preserve">UPC &amp; SCC Code updating: OLD UPC = 627167100901;  </t>
    </r>
    <r>
      <rPr>
        <b/>
        <sz val="11"/>
        <color theme="1"/>
        <rFont val="Calibri"/>
        <family val="2"/>
        <scheme val="minor"/>
      </rPr>
      <t xml:space="preserve">NEW UPC = 627167100895 </t>
    </r>
    <r>
      <rPr>
        <sz val="11"/>
        <color theme="1"/>
        <rFont val="Calibri"/>
        <family val="2"/>
        <scheme val="minor"/>
      </rPr>
      <t xml:space="preserve">| OLD SCC 40627167100909;  </t>
    </r>
    <r>
      <rPr>
        <b/>
        <sz val="11"/>
        <color theme="1"/>
        <rFont val="Calibri"/>
        <family val="2"/>
        <scheme val="minor"/>
      </rPr>
      <t>NEW SCC = 50627167100890</t>
    </r>
  </si>
  <si>
    <r>
      <t xml:space="preserve">UPC &amp; SCC Code updating: OLD UPC = 627167100932;  </t>
    </r>
    <r>
      <rPr>
        <b/>
        <sz val="11"/>
        <color theme="1"/>
        <rFont val="Calibri"/>
        <family val="2"/>
        <scheme val="minor"/>
      </rPr>
      <t xml:space="preserve">NEW UPC = 627167100925 </t>
    </r>
    <r>
      <rPr>
        <sz val="11"/>
        <color theme="1"/>
        <rFont val="Calibri"/>
        <family val="2"/>
        <scheme val="minor"/>
      </rPr>
      <t xml:space="preserve">| OLD SCC 40627167100930;  </t>
    </r>
    <r>
      <rPr>
        <b/>
        <sz val="11"/>
        <color theme="1"/>
        <rFont val="Calibri"/>
        <family val="2"/>
        <scheme val="minor"/>
      </rPr>
      <t>NEW SCC = 50627167100920</t>
    </r>
  </si>
  <si>
    <r>
      <t xml:space="preserve">SCC Code Updated: OLD SCC = 08002062010913; </t>
    </r>
    <r>
      <rPr>
        <b/>
        <sz val="11"/>
        <color theme="1"/>
        <rFont val="Calibri"/>
        <family val="2"/>
        <scheme val="minor"/>
      </rPr>
      <t xml:space="preserve">NEW SCC = 08002062011170 </t>
    </r>
    <r>
      <rPr>
        <sz val="11"/>
        <color theme="1"/>
        <rFont val="Calibri"/>
        <family val="2"/>
        <scheme val="minor"/>
      </rPr>
      <t>(no UPC change)</t>
    </r>
  </si>
  <si>
    <t>Pilletteri Carretto Pinot Grigio</t>
  </si>
  <si>
    <t>Pilletteri Gewurztraminer</t>
  </si>
  <si>
    <t>Pilletteri Market Collection Dolce Bianco</t>
  </si>
  <si>
    <t>Pilletteri Carretto Series Rosso Dolce</t>
  </si>
  <si>
    <t>G.A. Schmitt Niersteiner L.H.</t>
  </si>
  <si>
    <t>Thalia Sauvignon Blanc - Vilana</t>
  </si>
  <si>
    <t>Straccali Chianti Docg</t>
  </si>
  <si>
    <t>London Brewing Organic 4pm Sunset Oatmeal Stout</t>
  </si>
  <si>
    <r>
      <t>Discontinued by Supplier: Selling Units Per Case changing from 12 to 24. New SKU will be</t>
    </r>
    <r>
      <rPr>
        <b/>
        <sz val="11"/>
        <color theme="1"/>
        <rFont val="Calibri"/>
        <family val="2"/>
        <scheme val="minor"/>
      </rPr>
      <t xml:space="preserve"> 21271. NEW UPC = 666960000148 NEW SCC  = 10666960000145 </t>
    </r>
  </si>
  <si>
    <t>Downhill Pale Ale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</si>
  <si>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20224 </t>
    </r>
    <r>
      <rPr>
        <sz val="11"/>
        <color theme="1"/>
        <rFont val="Calibri"/>
        <family val="2"/>
        <scheme val="minor"/>
      </rPr>
      <t xml:space="preserve"> supplying source will remain 0002 - TBS ;</t>
    </r>
    <r>
      <rPr>
        <b/>
        <sz val="11"/>
        <color theme="1"/>
        <rFont val="Calibri"/>
        <family val="2"/>
        <scheme val="minor"/>
      </rPr>
      <t xml:space="preserve"> NEW UPC =  672975229634;   NEW SCC = 10672975229631. </t>
    </r>
  </si>
  <si>
    <t>Laurent Miquel Pere Et Fils Merlot Doc Igp</t>
  </si>
  <si>
    <t>3571710002051</t>
  </si>
  <si>
    <t xml:space="preserve">Going below grocery floor price April 26th </t>
  </si>
  <si>
    <t>Calamus Estate Ball’s Falls Red VQA</t>
  </si>
  <si>
    <r>
      <t xml:space="preserve">UPC &amp; SCC Code updating: OLD UPC = 628250062113;  </t>
    </r>
    <r>
      <rPr>
        <b/>
        <sz val="11"/>
        <color theme="1"/>
        <rFont val="Calibri"/>
        <family val="2"/>
        <scheme val="minor"/>
      </rPr>
      <t xml:space="preserve">NEW UPC = 628250062434 </t>
    </r>
    <r>
      <rPr>
        <sz val="11"/>
        <color theme="1"/>
        <rFont val="Calibri"/>
        <family val="2"/>
        <scheme val="minor"/>
      </rPr>
      <t xml:space="preserve">| OLD SCC 10628250062097;  </t>
    </r>
    <r>
      <rPr>
        <b/>
        <sz val="11"/>
        <color theme="1"/>
        <rFont val="Calibri"/>
        <family val="2"/>
        <scheme val="minor"/>
      </rPr>
      <t>NEW SCC = 10628250062325</t>
    </r>
  </si>
  <si>
    <t>Lake Of Bays Foghorn Juicy Ipa</t>
  </si>
  <si>
    <t>Product Name Changed: old name Lake Of Bays Foghorn Juicy Ipa; NEW NAME:Lake of Bays Early Warning Juicy IPA   (no UPC or SCC change)</t>
  </si>
  <si>
    <r>
      <t xml:space="preserve">UPC &amp; SCC Code updating: OLD UPC = 670459010181; </t>
    </r>
    <r>
      <rPr>
        <b/>
        <sz val="11"/>
        <color theme="1"/>
        <rFont val="Calibri"/>
        <family val="2"/>
        <scheme val="minor"/>
      </rPr>
      <t>NEW UPC = 670459010914</t>
    </r>
    <r>
      <rPr>
        <sz val="11"/>
        <color theme="1"/>
        <rFont val="Calibri"/>
        <family val="2"/>
        <scheme val="minor"/>
      </rPr>
      <t xml:space="preserve"> | OLD SCC = 10670459010188;  </t>
    </r>
    <r>
      <rPr>
        <b/>
        <sz val="11"/>
        <color theme="1"/>
        <rFont val="Calibri"/>
        <family val="2"/>
        <scheme val="minor"/>
      </rPr>
      <t>NEW SCC = 10670459010911</t>
    </r>
  </si>
  <si>
    <r>
      <t xml:space="preserve">UPC &amp; SCC Code updating: OLD UPC = 670459011294; </t>
    </r>
    <r>
      <rPr>
        <b/>
        <sz val="11"/>
        <color theme="1"/>
        <rFont val="Calibri"/>
        <family val="2"/>
        <scheme val="minor"/>
      </rPr>
      <t xml:space="preserve">NEW UPC = 670459011393 </t>
    </r>
    <r>
      <rPr>
        <sz val="11"/>
        <color theme="1"/>
        <rFont val="Calibri"/>
        <family val="2"/>
        <scheme val="minor"/>
      </rPr>
      <t xml:space="preserve">| OLD SCC = 10670459011291;  </t>
    </r>
    <r>
      <rPr>
        <b/>
        <sz val="11"/>
        <color theme="1"/>
        <rFont val="Calibri"/>
        <family val="2"/>
        <scheme val="minor"/>
      </rPr>
      <t xml:space="preserve">NEW SCC = 10670459011390 </t>
    </r>
  </si>
  <si>
    <t>Megalomaniac Much Obliged White</t>
  </si>
  <si>
    <t>Les Tannes En Occtanie Merlot IGP</t>
  </si>
  <si>
    <t>Chateau De Vaugelas Corbieres Aoc Le Prieure</t>
  </si>
  <si>
    <t>Parlez Vous Sauvignon Blanc IGP Loire</t>
  </si>
  <si>
    <t>Double Trouble - Hops &amp; Robbers Ipa 473ml Can</t>
  </si>
  <si>
    <t>Hops &amp; Robbers Grapefruit Ipa</t>
  </si>
  <si>
    <r>
      <t xml:space="preserve">Supplying source changing from 0001 - LCBO to </t>
    </r>
    <r>
      <rPr>
        <b/>
        <sz val="11"/>
        <color theme="1"/>
        <rFont val="Calibri"/>
        <family val="2"/>
        <scheme val="minor"/>
      </rPr>
      <t>4275 - OLD TOMORROW LTD.</t>
    </r>
  </si>
  <si>
    <t>Collective Arts Saint Of Circumstance 473ml</t>
  </si>
  <si>
    <t>Beau's Lug Tread Lagered Ale 473ml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</si>
  <si>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19271 </t>
    </r>
    <r>
      <rPr>
        <sz val="11"/>
        <color theme="1"/>
        <rFont val="Calibri"/>
        <family val="2"/>
        <scheme val="minor"/>
      </rPr>
      <t xml:space="preserve"> supplying source will remain 0002 - TBS ;</t>
    </r>
    <r>
      <rPr>
        <b/>
        <sz val="11"/>
        <color theme="1"/>
        <rFont val="Calibri"/>
        <family val="2"/>
        <scheme val="minor"/>
      </rPr>
      <t xml:space="preserve"> NEW UPC =  672975229702;   NEW SCC = 10672975229709. </t>
    </r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</si>
  <si>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19263 </t>
    </r>
    <r>
      <rPr>
        <sz val="11"/>
        <color theme="1"/>
        <rFont val="Calibri"/>
        <family val="2"/>
        <scheme val="minor"/>
      </rPr>
      <t xml:space="preserve"> supplying source will remain 0002 - TBS ;</t>
    </r>
    <r>
      <rPr>
        <b/>
        <sz val="11"/>
        <color theme="1"/>
        <rFont val="Calibri"/>
        <family val="2"/>
        <scheme val="minor"/>
      </rPr>
      <t xml:space="preserve"> NEW UPC =  672975229610;   NEW SCC = 10672975229617. </t>
    </r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</si>
  <si>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19266 </t>
    </r>
    <r>
      <rPr>
        <sz val="11"/>
        <color theme="1"/>
        <rFont val="Calibri"/>
        <family val="2"/>
        <scheme val="minor"/>
      </rPr>
      <t xml:space="preserve"> supplying source will remain 0002 - TBS ;</t>
    </r>
    <r>
      <rPr>
        <b/>
        <sz val="11"/>
        <color theme="1"/>
        <rFont val="Calibri"/>
        <family val="2"/>
        <scheme val="minor"/>
      </rPr>
      <t xml:space="preserve"> NEW UPC =  672975229696;   NEW SCC = 10672975229693. </t>
    </r>
  </si>
  <si>
    <t>Wellington Crispy Forever Helles Lager</t>
  </si>
  <si>
    <t>Wellington Sun Stands Still - Dark Sour</t>
  </si>
  <si>
    <r>
      <t xml:space="preserve">SCC Code updating: OLD SCC 30776029703192;  </t>
    </r>
    <r>
      <rPr>
        <b/>
        <sz val="11"/>
        <color theme="1"/>
        <rFont val="Calibri"/>
        <family val="2"/>
        <scheme val="minor"/>
      </rPr>
      <t>NEW SCC = 776029705744 (no change to UPC)</t>
    </r>
  </si>
  <si>
    <t>Ace Hill Berry Radler</t>
  </si>
  <si>
    <t>Beau's + Davids Tea London Fog</t>
  </si>
  <si>
    <t>Muskoka Squeeze The Day</t>
  </si>
  <si>
    <t>Collective Arts Pomegranate &amp; Grapefruit Sour</t>
  </si>
  <si>
    <t xml:space="preserve">Beringer Main &amp; Vine White Zinfandel </t>
  </si>
  <si>
    <t>Temporarily removed due to supply issues</t>
  </si>
  <si>
    <t>Konzelmann Canada White VQA</t>
  </si>
  <si>
    <t xml:space="preserve">Pelee Island Tailwind Gewurztraminer Riesling VQA </t>
  </si>
  <si>
    <t>Creemore Springs Helles Light Lager</t>
  </si>
  <si>
    <t>Temporarily removed due to supply issues - estimated to be back in stock early-June</t>
  </si>
  <si>
    <r>
      <t xml:space="preserve">Supplying source changing from 0001 - LCBO to </t>
    </r>
    <r>
      <rPr>
        <b/>
        <sz val="11"/>
        <color theme="1"/>
        <rFont val="Calibri"/>
        <family val="2"/>
        <scheme val="minor"/>
      </rPr>
      <t>2732 - NIAGARA CIDER CO.</t>
    </r>
  </si>
  <si>
    <t>Tempt Cider No. 9</t>
  </si>
  <si>
    <t xml:space="preserve">Megalomaniac Much Obliged Red </t>
  </si>
  <si>
    <t>Collective Arts Blueberry Chocolate &amp; Coffee Sour</t>
  </si>
  <si>
    <t>Collective Arts Stranger Than Fiction Porter 473ml</t>
  </si>
  <si>
    <t>Big Rock Pilsner +</t>
  </si>
  <si>
    <t>Big Rock Rhinestone Cowboy</t>
  </si>
  <si>
    <r>
      <t xml:space="preserve">UPC Code updating: OLD UPC =  064294674101;  </t>
    </r>
    <r>
      <rPr>
        <b/>
        <sz val="11"/>
        <color theme="1"/>
        <rFont val="Calibri"/>
        <family val="2"/>
        <scheme val="minor"/>
      </rPr>
      <t>NEW UPC= 064294255980 (no change to SCC)</t>
    </r>
  </si>
  <si>
    <r>
      <t xml:space="preserve">UPC Code updating: OLD UPC =  064294757309;  </t>
    </r>
    <r>
      <rPr>
        <b/>
        <sz val="11"/>
        <color theme="1"/>
        <rFont val="Calibri"/>
        <family val="2"/>
        <scheme val="minor"/>
      </rPr>
      <t>NEW UPC = 064294492989 (no change to SCC)</t>
    </r>
  </si>
  <si>
    <t>Hollandia Lager 4 Pack</t>
  </si>
  <si>
    <r>
      <t xml:space="preserve">UPC &amp; SCC Code updating: OLD UPC = 8714800024778; </t>
    </r>
    <r>
      <rPr>
        <b/>
        <sz val="11"/>
        <color theme="1"/>
        <rFont val="Calibri"/>
        <family val="2"/>
        <scheme val="minor"/>
      </rPr>
      <t>NEW UPC = 8714800040617</t>
    </r>
    <r>
      <rPr>
        <sz val="11"/>
        <color theme="1"/>
        <rFont val="Calibri"/>
        <family val="2"/>
        <scheme val="minor"/>
      </rPr>
      <t xml:space="preserve"> | OLD SCC = 87148000247786;  </t>
    </r>
    <r>
      <rPr>
        <b/>
        <sz val="11"/>
        <color theme="1"/>
        <rFont val="Calibri"/>
        <family val="2"/>
        <scheme val="minor"/>
      </rPr>
      <t>NEW SCC = 18714800040621</t>
    </r>
  </si>
  <si>
    <t>Pinky Brewster Raspberry Wheat Ale</t>
  </si>
  <si>
    <t>Folonari Pink Pinot Grigio Venezia Igt</t>
  </si>
  <si>
    <t>La Vieille Ferme Luberon Blanc Aoc</t>
  </si>
  <si>
    <t>Long Weekend Chardonnay Pinot Grigio VQA Bib</t>
  </si>
  <si>
    <t>Retail price falling below grocery floor price May 24/2021</t>
  </si>
  <si>
    <r>
      <t xml:space="preserve">UPC &amp; SCC Code updating: OLD UPC = 670459011300; </t>
    </r>
    <r>
      <rPr>
        <b/>
        <sz val="11"/>
        <color theme="1"/>
        <rFont val="Calibri"/>
        <family val="2"/>
        <scheme val="minor"/>
      </rPr>
      <t>NEW UPC = 670459010334</t>
    </r>
    <r>
      <rPr>
        <sz val="11"/>
        <color theme="1"/>
        <rFont val="Calibri"/>
        <family val="2"/>
        <scheme val="minor"/>
      </rPr>
      <t xml:space="preserve"> | OLD SCC = 10670459011307;  </t>
    </r>
    <r>
      <rPr>
        <b/>
        <sz val="11"/>
        <color theme="1"/>
        <rFont val="Calibri"/>
        <family val="2"/>
        <scheme val="minor"/>
      </rPr>
      <t>NEW SCC = 10670459010331</t>
    </r>
  </si>
  <si>
    <t>Black Cellar Merlot</t>
  </si>
  <si>
    <t>Tawse Sparkling Riesling Limestone Ridge VQA</t>
  </si>
  <si>
    <t>Cline Zinfandel</t>
  </si>
  <si>
    <t>Farmhouse California White</t>
  </si>
  <si>
    <t>Beau's Strong Patrick 473 Ml</t>
  </si>
  <si>
    <t>Beau's Lug Tread Can+ 4x355</t>
  </si>
  <si>
    <t>Cameron's Skeleton Crew Evil Genius Session Ipa</t>
  </si>
  <si>
    <t>Cameron's Winter Sampler</t>
  </si>
  <si>
    <t>Sol</t>
  </si>
  <si>
    <t>Villa Maria Private Bin Sauvignon Blanc</t>
  </si>
  <si>
    <t xml:space="preserve">Cotton Candy Rose </t>
  </si>
  <si>
    <r>
      <t xml:space="preserve">UPC &amp; SCC Code updating: OLD UPC = 874537172130; </t>
    </r>
    <r>
      <rPr>
        <b/>
        <sz val="11"/>
        <color theme="1"/>
        <rFont val="Calibri"/>
        <family val="2"/>
        <scheme val="minor"/>
      </rPr>
      <t>NEW UPC = 874537001607</t>
    </r>
    <r>
      <rPr>
        <sz val="11"/>
        <color theme="1"/>
        <rFont val="Calibri"/>
        <family val="2"/>
        <scheme val="minor"/>
      </rPr>
      <t xml:space="preserve"> | OLD SCC = 10874537172137;  </t>
    </r>
    <r>
      <rPr>
        <b/>
        <sz val="11"/>
        <color theme="1"/>
        <rFont val="Calibri"/>
        <family val="2"/>
        <scheme val="minor"/>
      </rPr>
      <t>NEW SCC = 10874537001604</t>
    </r>
  </si>
  <si>
    <t>Monkey Bay Sauvignon Blanc</t>
  </si>
  <si>
    <t>082100736300</t>
  </si>
  <si>
    <t xml:space="preserve">Masi Bonacosta Valpolicella Classico DOC </t>
  </si>
  <si>
    <r>
      <t xml:space="preserve">SCC Code Updated: OLD SCC = 08002062010883; </t>
    </r>
    <r>
      <rPr>
        <b/>
        <sz val="11"/>
        <color theme="1"/>
        <rFont val="Calibri"/>
        <family val="2"/>
        <scheme val="minor"/>
      </rPr>
      <t xml:space="preserve">NEW SCC = 08002062011347 </t>
    </r>
    <r>
      <rPr>
        <sz val="11"/>
        <color theme="1"/>
        <rFont val="Calibri"/>
        <family val="2"/>
        <scheme val="minor"/>
      </rPr>
      <t>(no UPC change)</t>
    </r>
  </si>
  <si>
    <r>
      <t xml:space="preserve">SCC Code Updated: OLD SCC = 08002062010876; </t>
    </r>
    <r>
      <rPr>
        <b/>
        <sz val="11"/>
        <color theme="1"/>
        <rFont val="Calibri"/>
        <family val="2"/>
        <scheme val="minor"/>
      </rPr>
      <t xml:space="preserve">NEW SCC = 08002062011316 </t>
    </r>
    <r>
      <rPr>
        <sz val="11"/>
        <color theme="1"/>
        <rFont val="Calibri"/>
        <family val="2"/>
        <scheme val="minor"/>
      </rPr>
      <t>(no UPC change)</t>
    </r>
  </si>
  <si>
    <t>Stiegl Grapefruit Radler 6-Pk - B+</t>
  </si>
  <si>
    <r>
      <t xml:space="preserve">UPC &amp; SCC Code updating: OLD UPC = 9003402653684; </t>
    </r>
    <r>
      <rPr>
        <b/>
        <sz val="11"/>
        <color theme="1"/>
        <rFont val="Calibri"/>
        <family val="2"/>
        <scheme val="minor"/>
      </rPr>
      <t>NEW UPC = 9003401753682</t>
    </r>
    <r>
      <rPr>
        <sz val="11"/>
        <color theme="1"/>
        <rFont val="Calibri"/>
        <family val="2"/>
        <scheme val="minor"/>
      </rPr>
      <t xml:space="preserve"> | OLD SCC = 39003402193181;  </t>
    </r>
    <r>
      <rPr>
        <b/>
        <sz val="11"/>
        <color theme="1"/>
        <rFont val="Calibri"/>
        <family val="2"/>
        <scheme val="minor"/>
      </rPr>
      <t>NEW SCC = 39003401753683</t>
    </r>
  </si>
  <si>
    <t>Jacobsen X Henderson Nordic Lager</t>
  </si>
  <si>
    <t>Lodestar Sour Ale With Passionfruit</t>
  </si>
  <si>
    <t>Elora Lady Friend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</si>
  <si>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19270 </t>
    </r>
    <r>
      <rPr>
        <sz val="11"/>
        <color theme="1"/>
        <rFont val="Calibri"/>
        <family val="2"/>
        <scheme val="minor"/>
      </rPr>
      <t xml:space="preserve"> supplying source will remain 0002 - TBS ;</t>
    </r>
    <r>
      <rPr>
        <b/>
        <sz val="11"/>
        <color theme="1"/>
        <rFont val="Calibri"/>
        <family val="2"/>
        <scheme val="minor"/>
      </rPr>
      <t xml:space="preserve"> NEW UPC =  672975229658;   NEW SCC = 10672975229655. </t>
    </r>
  </si>
  <si>
    <t>Rally Golden Ale</t>
  </si>
  <si>
    <r>
      <t>Product Name Changed: old name Rally Golden Ale;</t>
    </r>
    <r>
      <rPr>
        <b/>
        <sz val="11"/>
        <color theme="1"/>
        <rFont val="Calibri"/>
        <family val="2"/>
        <scheme val="minor"/>
      </rPr>
      <t xml:space="preserve"> NEW NAME: Rally Trail Blazer</t>
    </r>
    <r>
      <rPr>
        <sz val="11"/>
        <color theme="1"/>
        <rFont val="Calibri"/>
        <family val="2"/>
        <scheme val="minor"/>
      </rPr>
      <t xml:space="preserve">   (no UPC or SCC change)</t>
    </r>
  </si>
  <si>
    <t>Stiegl Grapefruit Radler+</t>
  </si>
  <si>
    <t>Tzafona Cellars Cabernet Sauvignon VQA</t>
  </si>
  <si>
    <r>
      <t xml:space="preserve">UPC &amp; SCC Code updating: OLD UPC = 9003402753087; </t>
    </r>
    <r>
      <rPr>
        <b/>
        <sz val="11"/>
        <color theme="1"/>
        <rFont val="Calibri"/>
        <family val="2"/>
        <scheme val="minor"/>
      </rPr>
      <t>NEW UPC = 9003402653080</t>
    </r>
    <r>
      <rPr>
        <sz val="11"/>
        <color theme="1"/>
        <rFont val="Calibri"/>
        <family val="2"/>
        <scheme val="minor"/>
      </rPr>
      <t xml:space="preserve">| OLD SCC = 39003402753088;  </t>
    </r>
    <r>
      <rPr>
        <b/>
        <sz val="11"/>
        <color theme="1"/>
        <rFont val="Calibri"/>
        <family val="2"/>
        <scheme val="minor"/>
      </rPr>
      <t>NEW SCC = 39003402653081</t>
    </r>
  </si>
  <si>
    <t>Stiegl Bier+</t>
  </si>
  <si>
    <r>
      <t xml:space="preserve">UPC &amp; SCC Code updating: OLD UPC = 9003402750086; </t>
    </r>
    <r>
      <rPr>
        <b/>
        <sz val="11"/>
        <color theme="1"/>
        <rFont val="Calibri"/>
        <family val="2"/>
        <scheme val="minor"/>
      </rPr>
      <t>NEW UPC = 9003402650089</t>
    </r>
    <r>
      <rPr>
        <sz val="11"/>
        <color theme="1"/>
        <rFont val="Calibri"/>
        <family val="2"/>
        <scheme val="minor"/>
      </rPr>
      <t xml:space="preserve">| OLD SCC = 39003402750087;  </t>
    </r>
    <r>
      <rPr>
        <b/>
        <sz val="11"/>
        <color theme="1"/>
        <rFont val="Calibri"/>
        <family val="2"/>
        <scheme val="minor"/>
      </rPr>
      <t>NEW SCC = 39003402650080</t>
    </r>
  </si>
  <si>
    <t>Lake Of Bays Tropical Storm Session Sour</t>
  </si>
  <si>
    <r>
      <t xml:space="preserve">LCBO Product Description revised. Old name: Lake Of Bays Tropical Storm Session Sour. </t>
    </r>
    <r>
      <rPr>
        <b/>
        <sz val="11"/>
        <color theme="1"/>
        <rFont val="Calibri"/>
        <family val="2"/>
        <scheme val="minor"/>
      </rPr>
      <t>NEW NAME : Lake Of Bays Tropical Twister Session Sour</t>
    </r>
  </si>
  <si>
    <r>
      <t xml:space="preserve">UPC &amp; SCC Code updating: OLD UPC = 9003401750131; </t>
    </r>
    <r>
      <rPr>
        <b/>
        <sz val="11"/>
        <color theme="1"/>
        <rFont val="Calibri"/>
        <family val="2"/>
        <scheme val="minor"/>
      </rPr>
      <t>NEW UPC = 9003401650134</t>
    </r>
    <r>
      <rPr>
        <sz val="11"/>
        <color theme="1"/>
        <rFont val="Calibri"/>
        <family val="2"/>
        <scheme val="minor"/>
      </rPr>
      <t xml:space="preserve">| OLD SCC =39003402650134 ;  </t>
    </r>
    <r>
      <rPr>
        <b/>
        <sz val="11"/>
        <color theme="1"/>
        <rFont val="Calibri"/>
        <family val="2"/>
        <scheme val="minor"/>
      </rPr>
      <t>NEW SCC = 39003401650135</t>
    </r>
  </si>
  <si>
    <t>Beau's Juiced Up Pale Ale</t>
  </si>
  <si>
    <t>Perth County Conspiracy Pale Ale</t>
  </si>
  <si>
    <r>
      <t xml:space="preserve">Supplying source changing from 3985 - HERITAGE HOPS BREWERY to </t>
    </r>
    <r>
      <rPr>
        <b/>
        <sz val="11"/>
        <color theme="1"/>
        <rFont val="Calibri"/>
        <family val="2"/>
        <scheme val="minor"/>
      </rPr>
      <t>002 - TBS</t>
    </r>
  </si>
  <si>
    <t>Refined Fool Science Lo-Cal Ipa</t>
  </si>
  <si>
    <t>Ace Hill Lime Radler</t>
  </si>
  <si>
    <t>Ace Hill Lemon Cayenne Radler</t>
  </si>
  <si>
    <t>Ace Hill Radler</t>
  </si>
  <si>
    <t>Caribru Ipa</t>
  </si>
  <si>
    <r>
      <t xml:space="preserve">Supplying source changing from 001 - LCBO to </t>
    </r>
    <r>
      <rPr>
        <b/>
        <sz val="11"/>
        <color theme="1"/>
        <rFont val="Calibri"/>
        <family val="2"/>
        <scheme val="minor"/>
      </rPr>
      <t xml:space="preserve"> 2823 - JUNCTION CRAFT BREWING</t>
    </r>
  </si>
  <si>
    <t>Moosehead Lager 6-Pk-Tc</t>
  </si>
  <si>
    <r>
      <t xml:space="preserve">UPC Code updating: OLD UPC = 776029703092; </t>
    </r>
    <r>
      <rPr>
        <b/>
        <sz val="11"/>
        <color theme="1"/>
        <rFont val="Calibri"/>
        <family val="2"/>
        <scheme val="minor"/>
      </rPr>
      <t>NEW UPC = 776029702491 (no SCC change)</t>
    </r>
  </si>
  <si>
    <t>Goose Island Midway Isa</t>
  </si>
  <si>
    <t>Beau's Night Marzen</t>
  </si>
  <si>
    <t>Beau's Countdown Pale Ale</t>
  </si>
  <si>
    <t>Waterloo Maple Spiced Pecan Old Ale</t>
  </si>
  <si>
    <t>Keystone Ice 473ml (Molson)</t>
  </si>
  <si>
    <t>Carling Lager 710ml Can</t>
  </si>
  <si>
    <t>Carling Light  6 Pk-C</t>
  </si>
  <si>
    <t xml:space="preserve">Sacred Hill Sauvignon Blanc </t>
  </si>
  <si>
    <r>
      <t xml:space="preserve">UPC &amp; SCC Code updating: OLD UPC = 689076790048; </t>
    </r>
    <r>
      <rPr>
        <b/>
        <sz val="11"/>
        <color theme="1"/>
        <rFont val="Calibri"/>
        <family val="2"/>
        <scheme val="minor"/>
      </rPr>
      <t xml:space="preserve">NEW UPC = 836460000027 </t>
    </r>
    <r>
      <rPr>
        <sz val="11"/>
        <color theme="1"/>
        <rFont val="Calibri"/>
        <family val="2"/>
        <scheme val="minor"/>
      </rPr>
      <t xml:space="preserve">| OLD SCC = 10689076790045;  </t>
    </r>
    <r>
      <rPr>
        <b/>
        <sz val="11"/>
        <color theme="1"/>
        <rFont val="Calibri"/>
        <family val="2"/>
        <scheme val="minor"/>
      </rPr>
      <t>NEW SCC = 10836460000024</t>
    </r>
  </si>
  <si>
    <t>Kacaba Unoaked Chardonnay VQA</t>
  </si>
  <si>
    <t>Dan Aykroyd Cabernet Merlot VQA</t>
  </si>
  <si>
    <t>G. Meffre Hommage Cotes Du Rhone Aop</t>
  </si>
  <si>
    <t>Cupcake Light Hearted Chardonnay</t>
  </si>
  <si>
    <t>081308011646</t>
  </si>
  <si>
    <t>Somersby Apple Cider 6x355ml</t>
  </si>
  <si>
    <t>Hop City Barking Squirrel 6-Pk C</t>
  </si>
  <si>
    <t>Steam Whistle Von Bugle</t>
  </si>
  <si>
    <t>Steam Whistle Steamy Sampler</t>
  </si>
  <si>
    <t>Duchesse De Bourgone</t>
  </si>
  <si>
    <r>
      <t xml:space="preserve">UPC Code updating: OLD UPC = 5411364151119; </t>
    </r>
    <r>
      <rPr>
        <b/>
        <sz val="11"/>
        <color theme="1"/>
        <rFont val="Calibri"/>
        <family val="2"/>
        <scheme val="minor"/>
      </rPr>
      <t>NEW UPC = 5411364151355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(no SCC change)</t>
    </r>
  </si>
  <si>
    <t>Big Rock Grasshopper Ale</t>
  </si>
  <si>
    <r>
      <t xml:space="preserve">UPC Code updating: OLD UPC = 064294623604; </t>
    </r>
    <r>
      <rPr>
        <b/>
        <sz val="11"/>
        <color theme="1"/>
        <rFont val="Calibri"/>
        <family val="2"/>
        <scheme val="minor"/>
      </rPr>
      <t>NEW UPC = 064294222982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(no SCC change)</t>
    </r>
  </si>
  <si>
    <t>Refined Fool Ontario Craft Lager</t>
  </si>
  <si>
    <t>Miller High Life Light</t>
  </si>
  <si>
    <t>James Ready 5.5 6 Pk-Tbc</t>
  </si>
  <si>
    <r>
      <t xml:space="preserve">UPC Code updating: OLD UPC = 776029701685; </t>
    </r>
    <r>
      <rPr>
        <b/>
        <sz val="11"/>
        <color theme="1"/>
        <rFont val="Calibri"/>
        <family val="2"/>
        <scheme val="minor"/>
      </rPr>
      <t>NEW UPC = 776029705966 (no SCC change)</t>
    </r>
  </si>
  <si>
    <r>
      <t xml:space="preserve">Temporarily removed due to supply issues </t>
    </r>
    <r>
      <rPr>
        <b/>
        <sz val="11"/>
        <color theme="1"/>
        <rFont val="Calibri"/>
        <family val="2"/>
        <scheme val="minor"/>
      </rPr>
      <t>*UPDATE : Available again effective June 28*</t>
    </r>
  </si>
  <si>
    <t>Producer Name = JOHN HOWARD CELLARS OF DISTINCTION</t>
  </si>
  <si>
    <t>Producer Name = KONZELMANN VINEYARDS INC.</t>
  </si>
  <si>
    <t>Producer Name = MALIVOIRE WINE CO.</t>
  </si>
  <si>
    <t>Producer Name = REIF WINERY INC.</t>
  </si>
  <si>
    <t>Producer Name = STREWN INC.</t>
  </si>
  <si>
    <t>Producer Name = TAWSE WINERY</t>
  </si>
  <si>
    <t>Producer Name = VINELAND ESTATE WINES LIMITED</t>
  </si>
  <si>
    <t>Producer Name = CHATEAU DES CHARMES</t>
  </si>
  <si>
    <t>Producer Name = ANGELS GATE WINERY</t>
  </si>
  <si>
    <t xml:space="preserve">Producer Size changing from Mid-Size to Small: Item list provided to Wine/Beer/Cider Operators </t>
  </si>
  <si>
    <t>Amsterdam Hazy Town Ipa</t>
  </si>
  <si>
    <r>
      <t xml:space="preserve">LCBO Product Description revised. Old name: Amsterdam Hazy Town Ipa. </t>
    </r>
    <r>
      <rPr>
        <b/>
        <sz val="11"/>
        <color theme="1"/>
        <rFont val="Calibri"/>
        <family val="2"/>
        <scheme val="minor"/>
      </rPr>
      <t>NEW NAME : Amsterdam Neon Haze</t>
    </r>
  </si>
  <si>
    <t xml:space="preserve">Lacheteau Tourain Sauvignon Blanc </t>
  </si>
  <si>
    <t>Off the Press Shiraz</t>
  </si>
  <si>
    <t>Louis Bernard Cote du Rhone White AOC</t>
  </si>
  <si>
    <t>Louis Bernard Cote du Rhone Red AOC</t>
  </si>
  <si>
    <t xml:space="preserve">Masi Costasera Amarone Classico </t>
  </si>
  <si>
    <t>Mill Street Essentials Mix Pack (Fall Winter 2020)</t>
  </si>
  <si>
    <t>Creemore Collection Urbock</t>
  </si>
  <si>
    <t>Nickel Brook Ipa Mystery Pack</t>
  </si>
  <si>
    <t>Great Lakes Brewery Lake Effect</t>
  </si>
  <si>
    <t>Muddy York Porter.</t>
  </si>
  <si>
    <t>Anderson Juicier Ipa</t>
  </si>
  <si>
    <t>Bench Brewing Citra Grove Dry Hopped Sour</t>
  </si>
  <si>
    <t>Jelly King - Pineapple Tangerine Grapefruit</t>
  </si>
  <si>
    <t xml:space="preserve">Parallel 49  Gypsy Tears </t>
  </si>
  <si>
    <t>473 ML</t>
  </si>
  <si>
    <t>Haus Lager 473ml</t>
  </si>
  <si>
    <t>Stratford Pilsner 6 Pk-B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</si>
  <si>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15565 </t>
    </r>
    <r>
      <rPr>
        <sz val="11"/>
        <color theme="1"/>
        <rFont val="Calibri"/>
        <family val="2"/>
        <scheme val="minor"/>
      </rPr>
      <t xml:space="preserve"> supplying source will remain 6732 - STRATFORD BREWING CO. ;</t>
    </r>
    <r>
      <rPr>
        <b/>
        <sz val="11"/>
        <color theme="1"/>
        <rFont val="Calibri"/>
        <family val="2"/>
        <scheme val="minor"/>
      </rPr>
      <t xml:space="preserve"> NEW UPC =  726962420969;   NEW SCC = 726962420976. *Available Now*</t>
    </r>
  </si>
  <si>
    <r>
      <t xml:space="preserve">UPC Code updating: OLD UPC =  776029702491; </t>
    </r>
    <r>
      <rPr>
        <b/>
        <sz val="11"/>
        <color theme="1"/>
        <rFont val="Calibri"/>
        <family val="2"/>
        <scheme val="minor"/>
      </rPr>
      <t>NEW UPC = 776029703092 (no SCC change)</t>
    </r>
  </si>
  <si>
    <t>Muskoka Ebb &amp; Flow Plum And Boysenberry</t>
  </si>
  <si>
    <t>Discontinued by Supplier - suggested replacement 219279 Konzelmann Pinot Blanc Vqa</t>
  </si>
  <si>
    <t xml:space="preserve">624654020230 </t>
  </si>
  <si>
    <t xml:space="preserve">624654010026 </t>
  </si>
  <si>
    <t xml:space="preserve">624654110160 </t>
  </si>
  <si>
    <t>Konzelmann Vidal Special Select Late Harvest Vqa</t>
  </si>
  <si>
    <t>Konzelmann Baco Noir Vqa</t>
  </si>
  <si>
    <t>Konzelmann Reisling Vqa</t>
  </si>
  <si>
    <t>Konzelmann Cabernet Rose Vqa</t>
  </si>
  <si>
    <t>Konzelmann Vidal Golden Vintage Vqa</t>
  </si>
  <si>
    <t xml:space="preserve">624654020018 </t>
  </si>
  <si>
    <t>Konzelmann Pinot Noir Vqa</t>
  </si>
  <si>
    <t xml:space="preserve">624654010200 </t>
  </si>
  <si>
    <t>Electric Storm Sour Ipa</t>
  </si>
  <si>
    <t>Red Racer Ipa</t>
  </si>
  <si>
    <r>
      <t>UPC &amp; SCC Code updating: OLD UPC = 628113006292;</t>
    </r>
    <r>
      <rPr>
        <b/>
        <sz val="11"/>
        <color theme="1"/>
        <rFont val="Calibri"/>
        <family val="2"/>
        <scheme val="minor"/>
      </rPr>
      <t xml:space="preserve"> NEW UPC = 628113006285 </t>
    </r>
    <r>
      <rPr>
        <sz val="11"/>
        <color theme="1"/>
        <rFont val="Calibri"/>
        <family val="2"/>
        <scheme val="minor"/>
      </rPr>
      <t xml:space="preserve">| OLD SCC = 10628113006299;  </t>
    </r>
    <r>
      <rPr>
        <b/>
        <sz val="11"/>
        <color theme="1"/>
        <rFont val="Calibri"/>
        <family val="2"/>
        <scheme val="minor"/>
      </rPr>
      <t>NEW SCC = 10628113006282</t>
    </r>
  </si>
  <si>
    <t>Cowbell Brewing Raspberry Moon Fruit Sour Ipa</t>
  </si>
  <si>
    <t>Trementi Bar Veneto Igp Appassimento</t>
  </si>
  <si>
    <t>13493</t>
  </si>
  <si>
    <t>Old Tomorrow Everything's Peachy Cream Ale</t>
  </si>
  <si>
    <t>Old Tomorrow Brewaid</t>
  </si>
  <si>
    <t>Old Tomorrow Canadian Pale Ale</t>
  </si>
  <si>
    <t>Producer Name = OLD TOMORROW LTD. and Supplying Source = 4725 - OLD TOMORROW LTD</t>
  </si>
  <si>
    <r>
      <t xml:space="preserve">Product Name Changed:Old Tomorrow Everything's Peachy Cream Ale; </t>
    </r>
    <r>
      <rPr>
        <b/>
        <sz val="11"/>
        <color theme="1"/>
        <rFont val="Calibri"/>
        <family val="2"/>
        <scheme val="minor"/>
      </rPr>
      <t xml:space="preserve">NEW NAME: Tomorrow Brew Co. Everything's Peachy Cream Ale </t>
    </r>
    <r>
      <rPr>
        <sz val="11"/>
        <color theme="1"/>
        <rFont val="Calibri"/>
        <family val="2"/>
        <scheme val="minor"/>
      </rPr>
      <t xml:space="preserve"> (no UPC or SCC change)</t>
    </r>
  </si>
  <si>
    <r>
      <t xml:space="preserve">Product Name Changed: Old Tomorrow Brewaid; </t>
    </r>
    <r>
      <rPr>
        <b/>
        <sz val="11"/>
        <color theme="1"/>
        <rFont val="Calibri"/>
        <family val="2"/>
        <scheme val="minor"/>
      </rPr>
      <t>NEW NAME: Tomorrow Brew Co. Brewaid</t>
    </r>
    <r>
      <rPr>
        <sz val="11"/>
        <color theme="1"/>
        <rFont val="Calibri"/>
        <family val="2"/>
        <scheme val="minor"/>
      </rPr>
      <t xml:space="preserve"> (no UPC or SCC change)</t>
    </r>
  </si>
  <si>
    <r>
      <t xml:space="preserve">Product Name Changed: Old Tomorrow Canadian Pale Ale; </t>
    </r>
    <r>
      <rPr>
        <b/>
        <sz val="11"/>
        <color theme="1"/>
        <rFont val="Calibri"/>
        <family val="2"/>
        <scheme val="minor"/>
      </rPr>
      <t>NEW NAME: Tomorrow Brew Co. Canadian Pale Ale</t>
    </r>
    <r>
      <rPr>
        <sz val="11"/>
        <color theme="1"/>
        <rFont val="Calibri"/>
        <family val="2"/>
        <scheme val="minor"/>
      </rPr>
      <t xml:space="preserve"> (no UPC or SCC change)</t>
    </r>
  </si>
  <si>
    <r>
      <t xml:space="preserve">Product Name Changed:Old Tomorrow Honey Ginger Shandy; NEW NAME: </t>
    </r>
    <r>
      <rPr>
        <b/>
        <sz val="11"/>
        <color theme="1"/>
        <rFont val="Calibri"/>
        <family val="2"/>
        <scheme val="minor"/>
      </rPr>
      <t>Tomorrow Brew Co. Honey Ginger Shandy</t>
    </r>
    <r>
      <rPr>
        <sz val="11"/>
        <color theme="1"/>
        <rFont val="Calibri"/>
        <family val="2"/>
        <scheme val="minor"/>
      </rPr>
      <t xml:space="preserve">  (no UPC or SCC change)</t>
    </r>
  </si>
  <si>
    <t>Changing to: Producer Name = UNITED CRAFT INC. and Supplying Source = 4725 - UNITED CRAFT INC.</t>
  </si>
  <si>
    <t>Mvp Brewing Premium Lager 6-Pk</t>
  </si>
  <si>
    <r>
      <t xml:space="preserve">Producer Size corrected: Old Producer Size: Large; </t>
    </r>
    <r>
      <rPr>
        <b/>
        <sz val="11"/>
        <color theme="1"/>
        <rFont val="Calibri"/>
        <family val="2"/>
        <scheme val="minor"/>
      </rPr>
      <t>Correct Producer Size: Small</t>
    </r>
  </si>
  <si>
    <t>Novas Gran Reserva Sauvignon Blanc Organic</t>
  </si>
  <si>
    <t>Bodega Norton Barrel Select Sauvignon Blanc</t>
  </si>
  <si>
    <t>Lindemans Bin 99 Pinot Noir</t>
  </si>
  <si>
    <t>Hardys Brave New World Shiraz Black</t>
  </si>
  <si>
    <t>012354081864</t>
  </si>
  <si>
    <t>Silver Point Sauvginon Blanc</t>
  </si>
  <si>
    <t>Yellow Tail Pure Bright Chardonnay</t>
  </si>
  <si>
    <t>Somersby Rose Cider 4-Pack</t>
  </si>
  <si>
    <t>8-5-2021</t>
  </si>
  <si>
    <t xml:space="preserve">9416623330379 </t>
  </si>
  <si>
    <t xml:space="preserve">Whitecliff Sauvignon Blanc Sacred Hill </t>
  </si>
  <si>
    <t>Temproarily removed due to supply challenges; ETA TBD</t>
  </si>
  <si>
    <t>Welly Mix Volume 10</t>
  </si>
  <si>
    <t>Side Launch Margarita Gose</t>
  </si>
  <si>
    <t>Brickworks Ciderhouse Series 3 The Purple Road</t>
  </si>
  <si>
    <t>Brickworks Ciderhouse Cider Spritz</t>
  </si>
  <si>
    <t>Brickworks Ciderhouse Mint &amp; Basil</t>
  </si>
  <si>
    <t>Newark Dunkel</t>
  </si>
  <si>
    <r>
      <t xml:space="preserve">Supplying source changing from 001 - LCBO to </t>
    </r>
    <r>
      <rPr>
        <b/>
        <sz val="11"/>
        <color theme="1"/>
        <rFont val="Calibri"/>
        <family val="2"/>
        <scheme val="minor"/>
      </rPr>
      <t xml:space="preserve"> 2857 - NEWARK BREWING CO.</t>
    </r>
  </si>
  <si>
    <t>Retail price falling below grocery floor price August 16, 2021</t>
  </si>
  <si>
    <t>Black Cellar Chardonnay</t>
  </si>
  <si>
    <t>048162016033</t>
  </si>
  <si>
    <t>Sandbanks Sparkling Rose VQA</t>
  </si>
  <si>
    <t>Pelee Island Lola Pinot Grigio VQA</t>
  </si>
  <si>
    <t>063657042694</t>
  </si>
  <si>
    <t>Kim Crawford Illuminate Sauvignon Blanc</t>
  </si>
  <si>
    <t>Wellington Raked Over Ipa</t>
  </si>
  <si>
    <t>Soft Hues Dry Hopped Lager</t>
  </si>
  <si>
    <t>Temporarily discontinued by Supplier, available again Fall</t>
  </si>
  <si>
    <r>
      <t xml:space="preserve">UPC &amp; SCC Code updating: OLD UPC = 836460000010; </t>
    </r>
    <r>
      <rPr>
        <b/>
        <sz val="11"/>
        <color theme="1"/>
        <rFont val="Calibri"/>
        <family val="2"/>
        <scheme val="minor"/>
      </rPr>
      <t xml:space="preserve">NEW UPC = 836460000034 </t>
    </r>
    <r>
      <rPr>
        <sz val="11"/>
        <color theme="1"/>
        <rFont val="Calibri"/>
        <family val="2"/>
        <scheme val="minor"/>
      </rPr>
      <t xml:space="preserve">| OLD SCC = 10836460000017;  </t>
    </r>
    <r>
      <rPr>
        <b/>
        <sz val="11"/>
        <color theme="1"/>
        <rFont val="Calibri"/>
        <family val="2"/>
        <scheme val="minor"/>
      </rPr>
      <t xml:space="preserve">NEW SCC = 10836460000031 </t>
    </r>
  </si>
  <si>
    <t>Spy Cider House Golden Eye Cider</t>
  </si>
  <si>
    <r>
      <t xml:space="preserve">UPC &amp; SCC Code updating: OLD UPC = 628250584004; </t>
    </r>
    <r>
      <rPr>
        <b/>
        <sz val="11"/>
        <color theme="1"/>
        <rFont val="Calibri"/>
        <family val="2"/>
        <scheme val="minor"/>
      </rPr>
      <t>NEW UPC = 628250584172</t>
    </r>
    <r>
      <rPr>
        <sz val="11"/>
        <color theme="1"/>
        <rFont val="Calibri"/>
        <family val="2"/>
        <scheme val="minor"/>
      </rPr>
      <t xml:space="preserve"> | OLD SCC = 62825058400004;  </t>
    </r>
    <r>
      <rPr>
        <b/>
        <sz val="11"/>
        <color theme="1"/>
        <rFont val="Calibri"/>
        <family val="2"/>
        <scheme val="minor"/>
      </rPr>
      <t>NEW SCC = 16282505841727</t>
    </r>
    <r>
      <rPr>
        <sz val="11"/>
        <color theme="1"/>
        <rFont val="Calibri"/>
        <family val="2"/>
        <scheme val="minor"/>
      </rPr>
      <t xml:space="preserve"> . Supplying source changing from 2759 - SPY CIDER HOUSE AND DISTILLERY to</t>
    </r>
    <r>
      <rPr>
        <b/>
        <sz val="11"/>
        <color theme="1"/>
        <rFont val="Calibri"/>
        <family val="2"/>
        <scheme val="minor"/>
      </rPr>
      <t xml:space="preserve"> 001 - LCBO </t>
    </r>
  </si>
  <si>
    <t>Somersby Spritz Cider 4-Pack</t>
  </si>
  <si>
    <t>Carlsberg 6x330ml Sleek Cans</t>
  </si>
  <si>
    <t>Red Racer Super Solar Ipa</t>
  </si>
  <si>
    <t xml:space="preserve">Tawse Quarry Road Pinot Noir VQA </t>
  </si>
  <si>
    <r>
      <t xml:space="preserve">UPC &amp; SCC Code updating: OLD UPC = 670459010181; </t>
    </r>
    <r>
      <rPr>
        <b/>
        <sz val="11"/>
        <color theme="1"/>
        <rFont val="Calibri"/>
        <family val="2"/>
        <scheme val="minor"/>
      </rPr>
      <t xml:space="preserve">NEW UPC = 670459010914 </t>
    </r>
    <r>
      <rPr>
        <sz val="11"/>
        <color theme="1"/>
        <rFont val="Calibri"/>
        <family val="2"/>
        <scheme val="minor"/>
      </rPr>
      <t xml:space="preserve">| OLD SCC =  10670459010188;  </t>
    </r>
    <r>
      <rPr>
        <b/>
        <sz val="11"/>
        <color theme="1"/>
        <rFont val="Calibri"/>
        <family val="2"/>
        <scheme val="minor"/>
      </rPr>
      <t xml:space="preserve">NEW SCC = 10670459010911 </t>
    </r>
  </si>
  <si>
    <t>Across The Pond English Pale Ale</t>
  </si>
  <si>
    <t>High Park Brewery Off Leash India Pale Ale</t>
  </si>
  <si>
    <t>High Park Brewery Against The Grain Golden Lager</t>
  </si>
  <si>
    <t>High Park Brewery Under Sakura Cherry Blossm Lager</t>
  </si>
  <si>
    <r>
      <t xml:space="preserve">Supplying source changing from 0792 - HIGH PARK BREWERY to </t>
    </r>
    <r>
      <rPr>
        <b/>
        <sz val="11"/>
        <color theme="1"/>
        <rFont val="Calibri"/>
        <family val="2"/>
        <scheme val="minor"/>
      </rPr>
      <t>0179 LOST CRAFT</t>
    </r>
  </si>
  <si>
    <t>Shiny Apple Rose</t>
  </si>
  <si>
    <t>Wolf Blass Yellow Label Chardonnay</t>
  </si>
  <si>
    <t>098137333559</t>
  </si>
  <si>
    <t>Carmen Reserva 1850 Premier Carmenere</t>
  </si>
  <si>
    <t>Magnotta Small Batch Cider Apple</t>
  </si>
  <si>
    <r>
      <t xml:space="preserve">UPC Code updating: OLD UPC =  727530562654; </t>
    </r>
    <r>
      <rPr>
        <b/>
        <sz val="11"/>
        <color theme="1"/>
        <rFont val="Calibri"/>
        <family val="2"/>
        <scheme val="minor"/>
      </rPr>
      <t>NEW UPC = 727530561404 (no SCC change)</t>
    </r>
  </si>
  <si>
    <r>
      <t xml:space="preserve">SCC Code updating: OLD SCC = 50776029701680;  </t>
    </r>
    <r>
      <rPr>
        <b/>
        <sz val="11"/>
        <color theme="1"/>
        <rFont val="Calibri"/>
        <family val="2"/>
        <scheme val="minor"/>
      </rPr>
      <t>NEW SCC = 30776029703062 (no change to UPC)</t>
    </r>
  </si>
  <si>
    <t>470 mL</t>
  </si>
  <si>
    <t>Singha Lager 6 Pk-B</t>
  </si>
  <si>
    <t>Temporarily removed due to supply challenges; ETA TBD</t>
  </si>
  <si>
    <t xml:space="preserve">Angels Gate Sauvignon Blanc VQA </t>
  </si>
  <si>
    <t>Phillips Glitterbomb Hazy Pale Ale</t>
  </si>
  <si>
    <r>
      <t xml:space="preserve">UPC Code updating: OLD UPC =  818278003445; </t>
    </r>
    <r>
      <rPr>
        <b/>
        <sz val="11"/>
        <color theme="1"/>
        <rFont val="Calibri"/>
        <family val="2"/>
        <scheme val="minor"/>
      </rPr>
      <t>NEW UPC = 818278010030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(no SCC change)</t>
    </r>
  </si>
  <si>
    <t>Busch Light</t>
  </si>
  <si>
    <t>Budweiser Shot</t>
  </si>
  <si>
    <t>Michelob Ultra</t>
  </si>
  <si>
    <t>Temporarily removed due to supply challenges; ETA September 21</t>
  </si>
  <si>
    <t>Temporarily removed due to supply challenges; ETA Late September</t>
  </si>
  <si>
    <t>Marius Rouge Pays D'OC</t>
  </si>
  <si>
    <r>
      <t xml:space="preserve">UPC &amp; SCC Code updating: OLD UPC = 3391180010604; </t>
    </r>
    <r>
      <rPr>
        <b/>
        <sz val="11"/>
        <color theme="1"/>
        <rFont val="Calibri"/>
        <family val="2"/>
        <scheme val="minor"/>
      </rPr>
      <t xml:space="preserve">NEW UPC = 3391180015579 </t>
    </r>
    <r>
      <rPr>
        <sz val="11"/>
        <color theme="1"/>
        <rFont val="Calibri"/>
        <family val="2"/>
        <scheme val="minor"/>
      </rPr>
      <t xml:space="preserve">| OLD SCC =  03391180010628;  </t>
    </r>
    <r>
      <rPr>
        <b/>
        <sz val="11"/>
        <color theme="1"/>
        <rFont val="Calibri"/>
        <family val="2"/>
        <scheme val="minor"/>
      </rPr>
      <t xml:space="preserve">NEW SCC = 03391180015593 </t>
    </r>
  </si>
  <si>
    <t>Hop City Misfit Mango Passionfruit  Ipa</t>
  </si>
  <si>
    <t>Hop City North Of 41</t>
  </si>
  <si>
    <t>Hop City Barking Squirrel Lager</t>
  </si>
  <si>
    <r>
      <t xml:space="preserve">Supplying source changing from 0001 - LCBO to </t>
    </r>
    <r>
      <rPr>
        <b/>
        <sz val="11"/>
        <color theme="1"/>
        <rFont val="Calibri"/>
        <family val="2"/>
        <scheme val="minor"/>
      </rPr>
      <t>0002 - TBS</t>
    </r>
  </si>
  <si>
    <t>Central City -Beer League Lager+</t>
  </si>
  <si>
    <t>Waterloo Tart Cherry Radler</t>
  </si>
  <si>
    <t>Wolf Blass Red Label Cabernet Merlot</t>
  </si>
  <si>
    <t>Newcastle Brown Ale+</t>
  </si>
  <si>
    <r>
      <rPr>
        <b/>
        <strike/>
        <sz val="11"/>
        <color theme="1"/>
        <rFont val="Calibri"/>
        <family val="2"/>
        <scheme val="minor"/>
      </rPr>
      <t xml:space="preserve">Temporarily removed due to supply challenges </t>
    </r>
    <r>
      <rPr>
        <b/>
        <sz val="11"/>
        <color theme="1"/>
        <rFont val="Calibri"/>
        <family val="2"/>
        <scheme val="minor"/>
      </rPr>
      <t>*UPDATE: EFFECTIVE 9/28/2021, WILL REMAIN AVAILABLE*</t>
    </r>
  </si>
  <si>
    <t>Mill Street Vanilla Porter</t>
  </si>
  <si>
    <t>Post Game Brewing Locker Room Lager</t>
  </si>
  <si>
    <r>
      <t xml:space="preserve">Supplying source changing from 001 - LCBO to </t>
    </r>
    <r>
      <rPr>
        <b/>
        <sz val="11"/>
        <color theme="1"/>
        <rFont val="Calibri"/>
        <family val="2"/>
        <scheme val="minor"/>
      </rPr>
      <t>1924 - POST GAME BREWING</t>
    </r>
  </si>
  <si>
    <t>Spearhead Brewing Sam Roberts Ale</t>
  </si>
  <si>
    <t>Winzer Krems 13 Gruner</t>
  </si>
  <si>
    <t>Willm Gewurztraminer Reserve</t>
  </si>
  <si>
    <t>Three Thieves Rose</t>
  </si>
  <si>
    <t>Frank Hellwig Shiraz Grenache</t>
  </si>
  <si>
    <t>063657041697</t>
  </si>
  <si>
    <r>
      <t xml:space="preserve">Supplying source changing from 0001 - LCBO to </t>
    </r>
    <r>
      <rPr>
        <b/>
        <sz val="11"/>
        <color theme="1"/>
        <rFont val="Calibri"/>
        <family val="2"/>
        <scheme val="minor"/>
      </rPr>
      <t>0002 - TBS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*UPDATE SCC Code Updating* </t>
    </r>
    <r>
      <rPr>
        <sz val="11"/>
        <color theme="1"/>
        <rFont val="Calibri"/>
        <family val="2"/>
        <scheme val="minor"/>
      </rPr>
      <t xml:space="preserve"> OLD SCC =  30776029702553; </t>
    </r>
    <r>
      <rPr>
        <b/>
        <sz val="11"/>
        <color theme="1"/>
        <rFont val="Calibri"/>
        <family val="2"/>
        <scheme val="minor"/>
      </rPr>
      <t>NEW SCC = 10776029705758 (no UPC change)</t>
    </r>
  </si>
  <si>
    <t>Ace Hill Dry Hopped Lager</t>
  </si>
  <si>
    <t>Stiegl Lemon Radler+</t>
  </si>
  <si>
    <r>
      <t xml:space="preserve">UPC &amp; SCC Code updating: OLD UPC = 9003402754077; </t>
    </r>
    <r>
      <rPr>
        <b/>
        <sz val="11"/>
        <color theme="1"/>
        <rFont val="Calibri"/>
        <family val="2"/>
        <scheme val="minor"/>
      </rPr>
      <t xml:space="preserve">NEW UPC = 9003402654087 </t>
    </r>
    <r>
      <rPr>
        <sz val="11"/>
        <color theme="1"/>
        <rFont val="Calibri"/>
        <family val="2"/>
        <scheme val="minor"/>
      </rPr>
      <t xml:space="preserve">| OLD SCC =  39003402754078;  </t>
    </r>
    <r>
      <rPr>
        <b/>
        <sz val="11"/>
        <color theme="1"/>
        <rFont val="Calibri"/>
        <family val="2"/>
        <scheme val="minor"/>
      </rPr>
      <t xml:space="preserve">NEW SCC = 39003402654088 </t>
    </r>
  </si>
  <si>
    <t>Collective Arts Smoothie Sour</t>
  </si>
  <si>
    <t>Collective Arts Mix Six Pack</t>
  </si>
  <si>
    <t>Sawdust City Passionfruit Guava Sour</t>
  </si>
  <si>
    <t>Sawdust City Gnarnia Lil Ipa</t>
  </si>
  <si>
    <t>Waterloo Watermelon Radler</t>
  </si>
  <si>
    <t>Sawdust City - Tropical Storm Mojito</t>
  </si>
  <si>
    <t>Side Launch Aloha Sour</t>
  </si>
  <si>
    <t>Side Launch Cherry Wit</t>
  </si>
  <si>
    <t>Collective Arts Mai Tai Sour</t>
  </si>
  <si>
    <t>Shillow Beer Snob Belgian  Ale</t>
  </si>
  <si>
    <t>Lagershed Lighter</t>
  </si>
  <si>
    <t>Sterling Vineyards Cabernet Sauvignon</t>
  </si>
  <si>
    <t>Sterling Vineyards Chardonnay</t>
  </si>
  <si>
    <t xml:space="preserve">088692719608 </t>
  </si>
  <si>
    <t xml:space="preserve">088692719615 </t>
  </si>
  <si>
    <t>Steam Whistle Pilsner Shandy</t>
  </si>
  <si>
    <t>Mons Abbey Witte+</t>
  </si>
  <si>
    <t>Mons Abbey Blonde+</t>
  </si>
  <si>
    <t>Beau's Brewery Porter</t>
  </si>
  <si>
    <t>Beau's Winter Mix Pack 2021</t>
  </si>
  <si>
    <r>
      <t xml:space="preserve">Supplying source changing from 9654 - BEAUS ALL NATURAL BREWING to </t>
    </r>
    <r>
      <rPr>
        <b/>
        <sz val="11"/>
        <color theme="1"/>
        <rFont val="Calibri"/>
        <family val="2"/>
        <scheme val="minor"/>
      </rPr>
      <t>002 - TBS</t>
    </r>
  </si>
  <si>
    <t>Innis &amp; Gunn Mangos On The Run</t>
  </si>
  <si>
    <t>Creemore Springs Collection Ft. Kolsch</t>
  </si>
  <si>
    <t>Bellwoodsjelly King With Strawberry &amp; Rhubarb</t>
  </si>
  <si>
    <t>Masi Tupungato Passo Doble Organic</t>
  </si>
  <si>
    <t>SCC Code Updated: OLD SCC = 08002062010463; NEW SCC = 08002062010753 (no UPC change)</t>
  </si>
  <si>
    <t>Muskoka Chance Of Flowers</t>
  </si>
  <si>
    <r>
      <t xml:space="preserve">UPC &amp; SCC Code updating: OLD UPC = 8001935221401; </t>
    </r>
    <r>
      <rPr>
        <b/>
        <sz val="11"/>
        <color theme="1"/>
        <rFont val="Calibri"/>
        <family val="2"/>
        <scheme val="minor"/>
      </rPr>
      <t xml:space="preserve">NEW UPC = 8001935001522 </t>
    </r>
    <r>
      <rPr>
        <sz val="11"/>
        <color theme="1"/>
        <rFont val="Calibri"/>
        <family val="2"/>
        <scheme val="minor"/>
      </rPr>
      <t xml:space="preserve">| OLD SCC = 8001935221418;  </t>
    </r>
    <r>
      <rPr>
        <b/>
        <sz val="11"/>
        <color theme="1"/>
        <rFont val="Calibri"/>
        <family val="2"/>
        <scheme val="minor"/>
      </rPr>
      <t xml:space="preserve">NEW SCC = 08001935001539 </t>
    </r>
  </si>
  <si>
    <t>Villa Antinori Toscana IGT</t>
  </si>
  <si>
    <t>Fresh Opportunities Riesling/Gewurztraminer</t>
  </si>
  <si>
    <t>Coors Light Minis 4x222ml</t>
  </si>
  <si>
    <t>888 mL</t>
  </si>
  <si>
    <t>Bitburger Premium Pilsner+</t>
  </si>
  <si>
    <r>
      <t xml:space="preserve">UPC &amp; SCC Code updating temporarily : OLD UPC = 41024355; </t>
    </r>
    <r>
      <rPr>
        <b/>
        <sz val="11"/>
        <color theme="1"/>
        <rFont val="Calibri"/>
        <family val="2"/>
        <scheme val="minor"/>
      </rPr>
      <t xml:space="preserve">NEW UPC = 020507002505 </t>
    </r>
    <r>
      <rPr>
        <sz val="11"/>
        <color theme="1"/>
        <rFont val="Calibri"/>
        <family val="2"/>
        <scheme val="minor"/>
      </rPr>
      <t xml:space="preserve">| OLD SCC = 04102430002404;  </t>
    </r>
    <r>
      <rPr>
        <b/>
        <sz val="11"/>
        <color theme="1"/>
        <rFont val="Calibri"/>
        <family val="2"/>
        <scheme val="minor"/>
      </rPr>
      <t xml:space="preserve">NEW SCC = 4102430002404 </t>
    </r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</si>
  <si>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21503  </t>
    </r>
    <r>
      <rPr>
        <sz val="11"/>
        <color theme="1"/>
        <rFont val="Calibri"/>
        <family val="2"/>
        <scheme val="minor"/>
      </rPr>
      <t xml:space="preserve"> supplying source will remain 0317 - PERTH BREWERY LTD 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(no UPC/SCC Change)</t>
    </r>
    <r>
      <rPr>
        <b/>
        <sz val="11"/>
        <color theme="1"/>
        <rFont val="Calibri"/>
        <family val="2"/>
        <scheme val="minor"/>
      </rPr>
      <t xml:space="preserve"> *Available Now*</t>
    </r>
  </si>
  <si>
    <t>Gran Passione Rosato Igt Veneto</t>
  </si>
  <si>
    <t>Liberty Village Peach Cider</t>
  </si>
  <si>
    <t>Liberty Village Chai Spice  Dry Cider</t>
  </si>
  <si>
    <t>Producer Size corrected: Old Producer Size: Large; Correct Producer Size: Small</t>
  </si>
  <si>
    <t>Vimy Red Ale</t>
  </si>
  <si>
    <t>Vimy Brewing Company Cream Ale</t>
  </si>
  <si>
    <t>Mill St Chocolate Cherry Blossom</t>
  </si>
  <si>
    <r>
      <t xml:space="preserve">UPC &amp; SCC Code updating: OLD UPC = 855315003716; </t>
    </r>
    <r>
      <rPr>
        <b/>
        <sz val="11"/>
        <color theme="1"/>
        <rFont val="Calibri"/>
        <family val="2"/>
        <scheme val="minor"/>
      </rPr>
      <t xml:space="preserve">NEW UPC = 855315006908 </t>
    </r>
    <r>
      <rPr>
        <sz val="11"/>
        <color theme="1"/>
        <rFont val="Calibri"/>
        <family val="2"/>
        <scheme val="minor"/>
      </rPr>
      <t xml:space="preserve">| OLD SCC = 855315004683;  </t>
    </r>
    <r>
      <rPr>
        <b/>
        <sz val="11"/>
        <color theme="1"/>
        <rFont val="Calibri"/>
        <family val="2"/>
        <scheme val="minor"/>
      </rPr>
      <t>NEW SCC = 855315006915</t>
    </r>
  </si>
  <si>
    <t>No Boats On Sunday Peach Cider</t>
  </si>
  <si>
    <t>Flying Monkeys Tiny Little Blizzards</t>
  </si>
  <si>
    <t>Lakeview Cellars Cabernet Franc Icewine VQA</t>
  </si>
  <si>
    <t>Maclean's Lazy Hazy Ipazy</t>
  </si>
  <si>
    <r>
      <t xml:space="preserve">Supplying source changing from 0748 - VIMY BREWING COMPANY to </t>
    </r>
    <r>
      <rPr>
        <b/>
        <sz val="11"/>
        <color theme="1"/>
        <rFont val="Calibri"/>
        <family val="2"/>
        <scheme val="minor"/>
      </rPr>
      <t>002 - TBS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*revised - effective 11/3/2021*</t>
    </r>
  </si>
  <si>
    <r>
      <t xml:space="preserve">Supplying source changing from 0748 - VIMY BREWING COMPANY to </t>
    </r>
    <r>
      <rPr>
        <b/>
        <sz val="11"/>
        <color theme="1"/>
        <rFont val="Calibri"/>
        <family val="2"/>
        <scheme val="minor"/>
      </rPr>
      <t>002 - TBS *revised - effective 11/3/2021*</t>
    </r>
  </si>
  <si>
    <r>
      <t xml:space="preserve">UPC &amp; SCC Code updating: OLD UPC = 628250062434;  </t>
    </r>
    <r>
      <rPr>
        <b/>
        <sz val="11"/>
        <color theme="1"/>
        <rFont val="Calibri"/>
        <family val="2"/>
        <scheme val="minor"/>
      </rPr>
      <t xml:space="preserve">NEW UPC = 628250062564 </t>
    </r>
    <r>
      <rPr>
        <sz val="11"/>
        <color theme="1"/>
        <rFont val="Calibri"/>
        <family val="2"/>
        <scheme val="minor"/>
      </rPr>
      <t xml:space="preserve">| OLD SCC 10628250062325;  </t>
    </r>
    <r>
      <rPr>
        <b/>
        <sz val="11"/>
        <color theme="1"/>
        <rFont val="Calibri"/>
        <family val="2"/>
        <scheme val="minor"/>
      </rPr>
      <t>NEW SCC = 10628250062004</t>
    </r>
  </si>
  <si>
    <t>Henderson X The Society Of Beer Drinking Ladies</t>
  </si>
  <si>
    <t>Society Beer Drinking Ladies Neipa With Clementine</t>
  </si>
  <si>
    <t>Bell City Brewing - Hop Shake Hazy Ipa</t>
  </si>
  <si>
    <t>Bell City Elijah's Real Mccoy</t>
  </si>
  <si>
    <t xml:space="preserve">Goats Do Roam White </t>
  </si>
  <si>
    <t xml:space="preserve">Big Bill Shiraz </t>
  </si>
  <si>
    <t xml:space="preserve">Fuzion Organic Chardonnay </t>
  </si>
  <si>
    <t>Pelee Island Lola Sparkling Blush VQA</t>
  </si>
  <si>
    <t>Chateau des Charmes Chardonnay St. Davids Bench VQA</t>
  </si>
  <si>
    <t>Molson Ultra Minis 4x222ml</t>
  </si>
  <si>
    <t>Amsterdam Boneshaker Gift Set</t>
  </si>
  <si>
    <t>Muskoka Blue Buried Treasure</t>
  </si>
  <si>
    <t>Muskoka Seanic Route Ipa</t>
  </si>
  <si>
    <t>Henderson's Radicle Salted Lime Gose</t>
  </si>
  <si>
    <t>Henderson Society Of Beer Drinking Ladies Pale Ale</t>
  </si>
  <si>
    <t>Peller Estates Family Series Baco Noir VQA</t>
  </si>
  <si>
    <r>
      <t xml:space="preserve">Temporarily removed due to supply challenges; </t>
    </r>
    <r>
      <rPr>
        <b/>
        <sz val="11"/>
        <color theme="1"/>
        <rFont val="Calibri"/>
        <family val="2"/>
        <scheme val="minor"/>
      </rPr>
      <t>*Update - Available effective 11/19/2021*</t>
    </r>
  </si>
  <si>
    <t>Wellington Brewery Duck Dive Ipa</t>
  </si>
  <si>
    <t>Somersby Cider Mixer Pack</t>
  </si>
  <si>
    <t>Sleeman Original Draught</t>
  </si>
  <si>
    <t>Muskoka Mimosa</t>
  </si>
  <si>
    <t>Fresh Ideas Sparkling Riesling VQA</t>
  </si>
  <si>
    <r>
      <t xml:space="preserve">UPC &amp; SCC Code updating: OLD UPC = 874537018131;  </t>
    </r>
    <r>
      <rPr>
        <b/>
        <sz val="11"/>
        <color theme="1"/>
        <rFont val="Calibri"/>
        <family val="2"/>
        <scheme val="minor"/>
      </rPr>
      <t xml:space="preserve">NEW UPC = 874537004196 </t>
    </r>
    <r>
      <rPr>
        <sz val="11"/>
        <color theme="1"/>
        <rFont val="Calibri"/>
        <family val="2"/>
        <scheme val="minor"/>
      </rPr>
      <t xml:space="preserve">| OLD SCC 10874537018138;  </t>
    </r>
    <r>
      <rPr>
        <b/>
        <sz val="11"/>
        <color theme="1"/>
        <rFont val="Calibri"/>
        <family val="2"/>
        <scheme val="minor"/>
      </rPr>
      <t>NEW SCC = 10874537004193</t>
    </r>
  </si>
  <si>
    <t>Pelee Island Lighthouse Cab Franc VQA BIB</t>
  </si>
  <si>
    <t xml:space="preserve">Peller Family Series Baco Noir VQA </t>
  </si>
  <si>
    <t>Pelee Island Gamay Zweigelt Ruggles Run VQA</t>
  </si>
  <si>
    <t>02-01-2022</t>
  </si>
  <si>
    <t>El Limero Ginger Lime Lager</t>
  </si>
  <si>
    <r>
      <t xml:space="preserve">Discontinued by Supplier </t>
    </r>
    <r>
      <rPr>
        <b/>
        <sz val="11"/>
        <color theme="1"/>
        <rFont val="Calibri"/>
        <family val="2"/>
        <scheme val="minor"/>
      </rPr>
      <t>*Update - Available effective 12/1/2021.</t>
    </r>
    <r>
      <rPr>
        <sz val="11"/>
        <color theme="1"/>
        <rFont val="Calibri"/>
        <family val="2"/>
        <scheme val="minor"/>
      </rPr>
      <t xml:space="preserve"> UPC Updated: OLD UPC = 628055774006;</t>
    </r>
    <r>
      <rPr>
        <b/>
        <sz val="11"/>
        <color theme="1"/>
        <rFont val="Calibri"/>
        <family val="2"/>
        <scheme val="minor"/>
      </rPr>
      <t xml:space="preserve"> NEW UPC = 628055774020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*</t>
    </r>
  </si>
  <si>
    <t>Philips Blue Buck+</t>
  </si>
  <si>
    <t>Diabolica White VQA</t>
  </si>
  <si>
    <t>Southbrook Connect Organic White VQA</t>
  </si>
  <si>
    <t>Veedha Douro Red</t>
  </si>
  <si>
    <t>Chateau De Gourgazaud Minervois Aoc</t>
  </si>
  <si>
    <t xml:space="preserve">Voga Sparkling Rose Of Pinot Grigio </t>
  </si>
  <si>
    <t>Chateau Labarrade Malbec Cahors Aop</t>
  </si>
  <si>
    <t>Collingwood Whites Bay Ipa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</si>
  <si>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>25291. Cans per case updated. 559765 = 12x473 mL case;  25291 = 24x473 mL case.</t>
    </r>
    <r>
      <rPr>
        <sz val="11"/>
        <color theme="1"/>
        <rFont val="Calibri"/>
        <family val="2"/>
        <scheme val="minor"/>
      </rPr>
      <t xml:space="preserve"> supplying source will remain 4205 - THE COLLINGWOOD BREWERY. ;</t>
    </r>
    <r>
      <rPr>
        <b/>
        <sz val="11"/>
        <color theme="1"/>
        <rFont val="Calibri"/>
        <family val="2"/>
        <scheme val="minor"/>
      </rPr>
      <t xml:space="preserve"> NEW UPC =  666960000155;   NEW SCC = 10666960000152. *Available Now*</t>
    </r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</si>
  <si>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>17850.</t>
    </r>
    <r>
      <rPr>
        <sz val="11"/>
        <color theme="1"/>
        <rFont val="Calibri"/>
        <family val="2"/>
        <scheme val="minor"/>
      </rPr>
      <t xml:space="preserve"> Supplying source will change from 001 - LCBO to </t>
    </r>
    <r>
      <rPr>
        <b/>
        <sz val="11"/>
        <color theme="1"/>
        <rFont val="Calibri"/>
        <family val="2"/>
        <scheme val="minor"/>
      </rPr>
      <t xml:space="preserve">002 - TBS </t>
    </r>
    <r>
      <rPr>
        <sz val="11"/>
        <color theme="1"/>
        <rFont val="Calibri"/>
        <family val="2"/>
        <scheme val="minor"/>
      </rPr>
      <t>;</t>
    </r>
    <r>
      <rPr>
        <b/>
        <sz val="11"/>
        <color theme="1"/>
        <rFont val="Calibri"/>
        <family val="2"/>
        <scheme val="minor"/>
      </rPr>
      <t xml:space="preserve"> NEW UPC =  062067382499;   NEW SCC = 70062067382498. *Available January 2022*</t>
    </r>
  </si>
  <si>
    <t>Creemore Springs Urbock</t>
  </si>
  <si>
    <t>Jackson-Triggs Reserve Crisp &amp; Lively White VQA</t>
  </si>
  <si>
    <t>Toro Bravo Sparkling Secco White</t>
  </si>
  <si>
    <t>The Crusher Cabernet Sauvignon</t>
  </si>
  <si>
    <t>Obsession Symphony White California</t>
  </si>
  <si>
    <r>
      <t xml:space="preserve">SCC Code Updated: OLD SCC = 08002062011156; </t>
    </r>
    <r>
      <rPr>
        <b/>
        <sz val="11"/>
        <color theme="1"/>
        <rFont val="Calibri"/>
        <family val="2"/>
        <scheme val="minor"/>
      </rPr>
      <t xml:space="preserve">NEW SCC = 08002062021490 </t>
    </r>
    <r>
      <rPr>
        <sz val="11"/>
        <color theme="1"/>
        <rFont val="Calibri"/>
        <family val="2"/>
        <scheme val="minor"/>
      </rPr>
      <t>(no UPC change)</t>
    </r>
  </si>
  <si>
    <r>
      <t xml:space="preserve">SCC Code Updated: OLD SCC = 08002062011118; </t>
    </r>
    <r>
      <rPr>
        <b/>
        <sz val="11"/>
        <color theme="1"/>
        <rFont val="Calibri"/>
        <family val="2"/>
        <scheme val="minor"/>
      </rPr>
      <t>NEW SCC = 08002062021407</t>
    </r>
    <r>
      <rPr>
        <sz val="11"/>
        <color theme="1"/>
        <rFont val="Calibri"/>
        <family val="2"/>
        <scheme val="minor"/>
      </rPr>
      <t xml:space="preserve"> (no UPC change)</t>
    </r>
  </si>
  <si>
    <t>Whitewater Brewing Dawn Patrol</t>
  </si>
  <si>
    <t>Collingwood 3 Point Saison (24 X 473 Ml)</t>
  </si>
  <si>
    <t>Collingwood Winter Stout</t>
  </si>
  <si>
    <t>Strawberry Milkshake Ipa</t>
  </si>
  <si>
    <t>Collingwood Stout</t>
  </si>
  <si>
    <t>Grand River Red Tail</t>
  </si>
  <si>
    <t>Cold Break Sublime Ipa</t>
  </si>
  <si>
    <r>
      <t xml:space="preserve">Supplying source changing from 4313 - YATES STREET BREWING COMPANY I to </t>
    </r>
    <r>
      <rPr>
        <b/>
        <sz val="11"/>
        <color theme="1"/>
        <rFont val="Calibri"/>
        <family val="2"/>
        <scheme val="minor"/>
      </rPr>
      <t>002 - TBS</t>
    </r>
  </si>
  <si>
    <t>Going below grocery floor price January 3rd</t>
  </si>
  <si>
    <t>Bio Bio Organic Merlot</t>
  </si>
  <si>
    <t>8008900001297</t>
  </si>
  <si>
    <t>Eden's Apple Strawberry Craft Cider</t>
  </si>
  <si>
    <t>Rattle 'N' Nemo</t>
  </si>
  <si>
    <t>Apothic Crush Red</t>
  </si>
  <si>
    <t>085000023488</t>
  </si>
  <si>
    <t>Gib Cranberry Orange Wheat Ale</t>
  </si>
  <si>
    <t>Ottakringer Wiener Original +</t>
  </si>
  <si>
    <t>The Black Lager</t>
  </si>
  <si>
    <t>Steam Whistle Session Lager 6-Pk</t>
  </si>
  <si>
    <t>Moosehead Lager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</si>
  <si>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>25819. Cans per case updated. 613497 = 12x473 mL case;  25819 = 24x473 mL case.</t>
    </r>
    <r>
      <rPr>
        <sz val="11"/>
        <color theme="1"/>
        <rFont val="Calibri"/>
        <family val="2"/>
        <scheme val="minor"/>
      </rPr>
      <t xml:space="preserve"> supplying source will remain 0002 - TBS. </t>
    </r>
    <r>
      <rPr>
        <b/>
        <sz val="11"/>
        <color theme="1"/>
        <rFont val="Calibri"/>
        <family val="2"/>
        <scheme val="minor"/>
      </rPr>
      <t xml:space="preserve">SCC Changing. </t>
    </r>
    <r>
      <rPr>
        <sz val="11"/>
        <color theme="1"/>
        <rFont val="Calibri"/>
        <family val="2"/>
        <scheme val="minor"/>
      </rPr>
      <t xml:space="preserve">Old SCC = 80776029701544, </t>
    </r>
    <r>
      <rPr>
        <b/>
        <sz val="11"/>
        <color theme="1"/>
        <rFont val="Calibri"/>
        <family val="2"/>
        <scheme val="minor"/>
      </rPr>
      <t>NEW SCC = 776029705676. No Change to UPC</t>
    </r>
  </si>
  <si>
    <t xml:space="preserve">Jacob's Creek Double Barrel Shiraz </t>
  </si>
  <si>
    <t>Jacob's Creek Double Barrel Cabernet Sauvignon</t>
  </si>
  <si>
    <r>
      <t xml:space="preserve">Discontinued by supplier </t>
    </r>
    <r>
      <rPr>
        <b/>
        <sz val="11"/>
        <color theme="1"/>
        <rFont val="Calibri"/>
        <family val="2"/>
        <scheme val="minor"/>
      </rPr>
      <t xml:space="preserve">(replace with sku item #22197 12x750mL, SCC changed: </t>
    </r>
    <r>
      <rPr>
        <sz val="11"/>
        <color theme="1"/>
        <rFont val="Calibri"/>
        <family val="2"/>
        <scheme val="minor"/>
      </rPr>
      <t>Old SCC = 29300727020783</t>
    </r>
    <r>
      <rPr>
        <b/>
        <sz val="11"/>
        <color theme="1"/>
        <rFont val="Calibri"/>
        <family val="2"/>
        <scheme val="minor"/>
      </rPr>
      <t xml:space="preserve">, NEW SCC = 29300727032397. No change to UPC) </t>
    </r>
  </si>
  <si>
    <r>
      <t xml:space="preserve">Discontinued by supplier </t>
    </r>
    <r>
      <rPr>
        <b/>
        <sz val="11"/>
        <color theme="1"/>
        <rFont val="Calibri"/>
        <family val="2"/>
        <scheme val="minor"/>
      </rPr>
      <t xml:space="preserve">(replace with sku item #22199 12x750mL, SCC changed: </t>
    </r>
    <r>
      <rPr>
        <sz val="11"/>
        <color theme="1"/>
        <rFont val="Calibri"/>
        <family val="2"/>
        <scheme val="minor"/>
      </rPr>
      <t>Old SCC = 29300727018315</t>
    </r>
    <r>
      <rPr>
        <b/>
        <sz val="11"/>
        <color theme="1"/>
        <rFont val="Calibri"/>
        <family val="2"/>
        <scheme val="minor"/>
      </rPr>
      <t xml:space="preserve">, NEW SCC = 29300727032380. No change to UPC) </t>
    </r>
  </si>
  <si>
    <t>Temporarily Discontinued by Supplier. ETA March 2022</t>
  </si>
  <si>
    <t>Indie Ale House -Instigator Ipa</t>
  </si>
  <si>
    <t>Old Style Pilsner 6.1</t>
  </si>
  <si>
    <t>Big Rock Citradellic Ipa</t>
  </si>
  <si>
    <r>
      <t xml:space="preserve">UPC Code Updated: OLD UPC = 064294797749; </t>
    </r>
    <r>
      <rPr>
        <b/>
        <sz val="11"/>
        <color theme="1"/>
        <rFont val="Calibri"/>
        <family val="2"/>
        <scheme val="minor"/>
      </rPr>
      <t xml:space="preserve">NEW UPC = 064294861983 </t>
    </r>
    <r>
      <rPr>
        <sz val="11"/>
        <color theme="1"/>
        <rFont val="Calibri"/>
        <family val="2"/>
        <scheme val="minor"/>
      </rPr>
      <t>(no SCC change)</t>
    </r>
  </si>
  <si>
    <t>Collective Arts Hazy State</t>
  </si>
  <si>
    <t>Collective Arts Audio Visual Lager</t>
  </si>
  <si>
    <t>Collective Arts Nature Of Things Dry Cider</t>
  </si>
  <si>
    <t>Collective Arts Circling The Sun Applecherry Cider</t>
  </si>
  <si>
    <t>Collective Arts Matter Of Fact</t>
  </si>
  <si>
    <t>Collective Arts Jam Up Dry Hopped Sour W. Berries</t>
  </si>
  <si>
    <t>Collective Arts Ipa No. 20</t>
  </si>
  <si>
    <t>Collective Arts Ransack The Universe Ipa</t>
  </si>
  <si>
    <t>Collective Arts Jam Up The Mash</t>
  </si>
  <si>
    <t>Collective Arts Life In The Clouds</t>
  </si>
  <si>
    <t>Ace Hill Low-Cal Mexican Lager</t>
  </si>
  <si>
    <t>Ace Hill Grapefruit Radler</t>
  </si>
  <si>
    <t>Naughty Otter Lager</t>
  </si>
  <si>
    <t>Ace Hill Pilsner</t>
  </si>
  <si>
    <t>Ace Hill Vienna Lager</t>
  </si>
  <si>
    <t>Naughty Otter Pilsner</t>
  </si>
  <si>
    <r>
      <t xml:space="preserve">Supplying source changing from 0196 - ACE HILL BEER COMPANY to </t>
    </r>
    <r>
      <rPr>
        <b/>
        <sz val="11"/>
        <color theme="1"/>
        <rFont val="Calibri"/>
        <family val="2"/>
        <scheme val="minor"/>
      </rPr>
      <t>001 - LCBO</t>
    </r>
  </si>
  <si>
    <r>
      <t xml:space="preserve">Supplying source changing from 1168 - Q4Q BEER COMPANY LTD to </t>
    </r>
    <r>
      <rPr>
        <b/>
        <sz val="11"/>
        <color theme="1"/>
        <rFont val="Calibri"/>
        <family val="2"/>
        <scheme val="minor"/>
      </rPr>
      <t>001 - LCBO</t>
    </r>
  </si>
  <si>
    <t>Banfi Centine Rosso Toscana Igt</t>
  </si>
  <si>
    <t>Santa Cristina Rosso Toscana Igt</t>
  </si>
  <si>
    <t>Producer Size changing from Mid-Size to Large: Item list provided to Beer &amp; Wine Licensees</t>
  </si>
  <si>
    <t>Producer Name = CAVE SPRING CELLARS</t>
  </si>
  <si>
    <t>Producer Name = DIAMOND ESTATES WINE &amp; SPIRITS LTD</t>
  </si>
  <si>
    <t>Producer Name = EASTDELL ESTATES</t>
  </si>
  <si>
    <t>Producer Name = HENRY OF PELHAM FAMILY EST. WINERY</t>
  </si>
  <si>
    <t>Producer Name = HOUSE WINE CO.</t>
  </si>
  <si>
    <t>Producer Name = PELEE ISLAND VINEYARD INC.</t>
  </si>
  <si>
    <t>Producer Name = PILLITTERI ESTATES</t>
  </si>
  <si>
    <t>Producer Name = SPECK BROS.</t>
  </si>
  <si>
    <t>Producer Name = REVEL CELLARS</t>
  </si>
  <si>
    <t>Producer Name = THREE OF HEARTS</t>
  </si>
  <si>
    <t>Producer Size changing from Mid-Size to Large</t>
  </si>
  <si>
    <t>Albert Bichot Bourgogne Pinot Noir Aoc</t>
  </si>
  <si>
    <t>Castillo De Almansa Reserva Almansa</t>
  </si>
  <si>
    <t>Villa Annaberta Valpolicella Ripasso Superiore</t>
  </si>
  <si>
    <t>Albert Bichot Chablis Aoc</t>
  </si>
  <si>
    <t>087113110918</t>
  </si>
  <si>
    <t>8414837010118</t>
  </si>
  <si>
    <t>Collective Arts Mix 6 Pack</t>
  </si>
  <si>
    <r>
      <rPr>
        <strike/>
        <sz val="11"/>
        <color theme="1"/>
        <rFont val="Calibri"/>
        <family val="2"/>
        <scheme val="minor"/>
      </rPr>
      <t xml:space="preserve">Supplying source changing from 4678 - COLLECTIVE ARTS BREWING LIMITED to </t>
    </r>
    <r>
      <rPr>
        <b/>
        <strike/>
        <sz val="11"/>
        <color theme="1"/>
        <rFont val="Calibri"/>
        <family val="2"/>
        <scheme val="minor"/>
      </rPr>
      <t>001 - LCBO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*CHANGE TO SUPPLYING SOURCE IS CANCELLED: SUPPLYING SOURCE WILL REMAIN 4678 - COLLECTIVE ARTS BREWING LIMITED*</t>
    </r>
  </si>
  <si>
    <t>Great Lakes Brewery - Pumpkin Ale 473ml</t>
  </si>
  <si>
    <t>Flying Monkeys Theatre Of Madness Pumpkin Lager</t>
  </si>
  <si>
    <t>Hucklejack Canadian Lager</t>
  </si>
  <si>
    <t>Mill St Big Little Lager</t>
  </si>
  <si>
    <t>Coors Organic 473ml</t>
  </si>
  <si>
    <t>Side Launch Hibiscus Sour</t>
  </si>
  <si>
    <t>Boreale Pale Ale Des Bois</t>
  </si>
  <si>
    <t>Blanche De Chambly Orange Sanguine</t>
  </si>
  <si>
    <t>Phillips Tiger Shark Pale Ale</t>
  </si>
  <si>
    <t>Steam Whistle Inflatable Cooler Gift Pack</t>
  </si>
  <si>
    <t>Cowbell Brewing Co. Smooth Sailing Light Lager</t>
  </si>
  <si>
    <r>
      <t xml:space="preserve">Producer Size corrected: OLD PRODUCER SIZE: Large; </t>
    </r>
    <r>
      <rPr>
        <b/>
        <sz val="11"/>
        <color theme="1"/>
        <rFont val="Calibri"/>
        <family val="2"/>
        <scheme val="minor"/>
      </rPr>
      <t>NEW PRODUCER SIZE: Small</t>
    </r>
  </si>
  <si>
    <t>Eastbound Hidden Lake Hefeweizen (Wheat Ale)</t>
  </si>
  <si>
    <t>Farmhouse California Red</t>
  </si>
  <si>
    <t>Lancaster Bomber Ale</t>
  </si>
  <si>
    <t>Moosehead Lager 473ml</t>
  </si>
  <si>
    <r>
      <t xml:space="preserve">SCC Code Updated: OLD SCC = 80776029701544; </t>
    </r>
    <r>
      <rPr>
        <b/>
        <sz val="11"/>
        <color theme="1"/>
        <rFont val="Calibri"/>
        <family val="2"/>
        <scheme val="minor"/>
      </rPr>
      <t xml:space="preserve">NEW SCC  = 10776029705673 </t>
    </r>
    <r>
      <rPr>
        <sz val="11"/>
        <color theme="1"/>
        <rFont val="Calibri"/>
        <family val="2"/>
        <scheme val="minor"/>
      </rPr>
      <t>(no UPC change)</t>
    </r>
  </si>
  <si>
    <t>Somersby Watermelon Cider 473ml</t>
  </si>
  <si>
    <t>Longslice Brewery Sky Bison Apa</t>
  </si>
  <si>
    <t>Cowbell Brewing Co. Winter Collection*</t>
  </si>
  <si>
    <t>Cowbell Brewing Co. Summer Collection..</t>
  </si>
  <si>
    <t>Cowbell Pomegranate Honeysuckle Fruit Sour</t>
  </si>
  <si>
    <t>Cowbell Brewing Co. Sea Salt Grapefruit Sour</t>
  </si>
  <si>
    <t>Cowbell Brewing Co. Passion Fruit Punch</t>
  </si>
  <si>
    <t>Cowbell Brewing Co. Winter Collection</t>
  </si>
  <si>
    <t>Blyth Brewing Cowbell Kelly's Contraption</t>
  </si>
  <si>
    <t>The Dreaming Tree Crush Red Blend</t>
  </si>
  <si>
    <t>082100780013</t>
  </si>
  <si>
    <t>Frescobaldi Remole Toscana IGT</t>
  </si>
  <si>
    <r>
      <t xml:space="preserve">UPC &amp; SCC Code updating: OLD UPC = 8007425001546; </t>
    </r>
    <r>
      <rPr>
        <b/>
        <sz val="11"/>
        <color theme="1"/>
        <rFont val="Calibri"/>
        <family val="2"/>
        <scheme val="minor"/>
      </rPr>
      <t>NEW UPC = 8007425200017</t>
    </r>
    <r>
      <rPr>
        <sz val="11"/>
        <color theme="1"/>
        <rFont val="Calibri"/>
        <family val="2"/>
        <scheme val="minor"/>
      </rPr>
      <t xml:space="preserve"> | OLD SCC = 88007425200013;  </t>
    </r>
    <r>
      <rPr>
        <b/>
        <sz val="11"/>
        <color theme="1"/>
        <rFont val="Calibri"/>
        <family val="2"/>
        <scheme val="minor"/>
      </rPr>
      <t xml:space="preserve">NEW SCC = 68007425001548 </t>
    </r>
  </si>
  <si>
    <t>Creekside Laura's Blend Red VQA</t>
  </si>
  <si>
    <t>The Audacity of Thomas G. Bright Chardaonny VQA</t>
  </si>
  <si>
    <t>Tuborg Gold 4-Pack</t>
  </si>
  <si>
    <r>
      <t xml:space="preserve">UPC Code updating: OLD UPC = 675325399018; </t>
    </r>
    <r>
      <rPr>
        <b/>
        <sz val="11"/>
        <color theme="1"/>
        <rFont val="Calibri"/>
        <family val="2"/>
        <scheme val="minor"/>
      </rPr>
      <t>NEW UPC = 5740700997334</t>
    </r>
    <r>
      <rPr>
        <sz val="11"/>
        <color theme="1"/>
        <rFont val="Calibri"/>
        <family val="2"/>
        <scheme val="minor"/>
      </rPr>
      <t xml:space="preserve"> (no SCC change)</t>
    </r>
  </si>
  <si>
    <r>
      <t xml:space="preserve">SCC Code updating: OLD SCC = 7350064999066; </t>
    </r>
    <r>
      <rPr>
        <b/>
        <sz val="11"/>
        <color theme="1"/>
        <rFont val="Calibri"/>
        <family val="2"/>
        <scheme val="minor"/>
      </rPr>
      <t>NEW SCC = 17300009030887</t>
    </r>
    <r>
      <rPr>
        <sz val="11"/>
        <color theme="1"/>
        <rFont val="Calibri"/>
        <family val="2"/>
        <scheme val="minor"/>
      </rPr>
      <t xml:space="preserve"> (no UPC change)</t>
    </r>
  </si>
  <si>
    <r>
      <t>Supplying source changing from 001 - LCBO to</t>
    </r>
    <r>
      <rPr>
        <b/>
        <sz val="11"/>
        <color theme="1"/>
        <rFont val="Calibri"/>
        <family val="2"/>
        <scheme val="minor"/>
      </rPr>
      <t xml:space="preserve"> 002 - TBS</t>
    </r>
  </si>
  <si>
    <t>Muskoka Survival Pack</t>
  </si>
  <si>
    <r>
      <t xml:space="preserve">Supplying source changing from 001 - LCBO to </t>
    </r>
    <r>
      <rPr>
        <b/>
        <sz val="11"/>
        <color theme="1"/>
        <rFont val="Calibri"/>
        <family val="2"/>
        <scheme val="minor"/>
      </rPr>
      <t>3436 - LAKES OF MUSKOKA COTTAGE BREWERY</t>
    </r>
  </si>
  <si>
    <t>Bodacious Bold &amp; Buttery Chardonnay</t>
  </si>
  <si>
    <t>Muskoka Midnight Magic</t>
  </si>
  <si>
    <r>
      <t xml:space="preserve">Product Description Change: from V) Cabernet Rose (Creekside) to </t>
    </r>
    <r>
      <rPr>
        <b/>
        <sz val="11"/>
        <color theme="1"/>
        <rFont val="Calibri"/>
        <family val="2"/>
        <scheme val="minor"/>
      </rPr>
      <t>Creekside Cabernet Rose VQA</t>
    </r>
  </si>
  <si>
    <t>Creekside Cabernet Rose VQA</t>
  </si>
  <si>
    <t>Bellwoods Monogamy (Citra) Ipa</t>
  </si>
  <si>
    <t>Longslice Brewery Puns N' Goses</t>
  </si>
  <si>
    <t>Henderson X Society Of Beer Drinking Ladies 0006</t>
  </si>
  <si>
    <t>Coors Organic 6x355ml</t>
  </si>
  <si>
    <t>Coors Slice Grapefruit</t>
  </si>
  <si>
    <t>Rickard's Red  6 Pk-B</t>
  </si>
  <si>
    <t>Anciano No.7 Reserva</t>
  </si>
  <si>
    <r>
      <t xml:space="preserve">UPC &amp; SCC Code updating: OLD UPC = 5060108901451; </t>
    </r>
    <r>
      <rPr>
        <b/>
        <sz val="11"/>
        <color theme="1"/>
        <rFont val="Calibri"/>
        <family val="2"/>
        <scheme val="minor"/>
      </rPr>
      <t>NEW UPC = 5060108907125</t>
    </r>
    <r>
      <rPr>
        <sz val="11"/>
        <color theme="1"/>
        <rFont val="Calibri"/>
        <family val="2"/>
        <scheme val="minor"/>
      </rPr>
      <t xml:space="preserve"> | OLD SCC = 05060108901871;  </t>
    </r>
    <r>
      <rPr>
        <b/>
        <sz val="11"/>
        <color theme="1"/>
        <rFont val="Calibri"/>
        <family val="2"/>
        <scheme val="minor"/>
      </rPr>
      <t xml:space="preserve">NEW SCC = 05060108907309 </t>
    </r>
  </si>
  <si>
    <t xml:space="preserve">Veuve Clicquot Demi Sec Champagne </t>
  </si>
  <si>
    <r>
      <t xml:space="preserve">SCC Code updating: OLD SCC = 3049614101717; </t>
    </r>
    <r>
      <rPr>
        <b/>
        <sz val="11"/>
        <color theme="1"/>
        <rFont val="Calibri"/>
        <family val="2"/>
        <scheme val="minor"/>
      </rPr>
      <t>NEW SCC = 03049614047473</t>
    </r>
    <r>
      <rPr>
        <sz val="11"/>
        <color theme="1"/>
        <rFont val="Calibri"/>
        <family val="2"/>
        <scheme val="minor"/>
      </rPr>
      <t xml:space="preserve"> (no UPC change)</t>
    </r>
  </si>
  <si>
    <r>
      <t xml:space="preserve">SCC Code updating: OLD SCC = 3185370474181; </t>
    </r>
    <r>
      <rPr>
        <b/>
        <sz val="11"/>
        <color theme="1"/>
        <rFont val="Calibri"/>
        <family val="2"/>
        <scheme val="minor"/>
      </rPr>
      <t xml:space="preserve">NEW SCC = 3185370407479 </t>
    </r>
    <r>
      <rPr>
        <sz val="11"/>
        <color theme="1"/>
        <rFont val="Calibri"/>
        <family val="2"/>
        <scheme val="minor"/>
      </rPr>
      <t>(no UPC change)</t>
    </r>
  </si>
  <si>
    <t>Moet &amp; Chandon Brut Rose</t>
  </si>
  <si>
    <t>Serenity By Lakeview Cellars Cab Merlot Vqa</t>
  </si>
  <si>
    <t>Lakeview Cellars Select Red Vqa</t>
  </si>
  <si>
    <t>Lakeview Cellars Select White Vqa</t>
  </si>
  <si>
    <t>Dan Aykroyd Cabernet Shiraz Vqa</t>
  </si>
  <si>
    <t>Fresh Perspectives Satin Red Vqa</t>
  </si>
  <si>
    <t xml:space="preserve">Eastdell Pinot Grigio Vqa </t>
  </si>
  <si>
    <t xml:space="preserve">Eastdell Summer Rose Vqa </t>
  </si>
  <si>
    <t>Eastdell Blackcab Vqa</t>
  </si>
  <si>
    <t>17 Cabernet Sauvignon Icewine (Lakeview Cellars)</t>
  </si>
  <si>
    <t>20 Serenity By Lakeview Cellars Rose Vqa</t>
  </si>
  <si>
    <t>Cotton Candy Rose</t>
  </si>
  <si>
    <t>16 Icewine Vidal Cold Climate Tzafona Kp (Diamond)</t>
  </si>
  <si>
    <t>19 Riesling Icewine (Lakeview Cellars)</t>
  </si>
  <si>
    <t>17 Eastdell Pinot Noir Vqa</t>
  </si>
  <si>
    <t>McMichael Collection Chardonnay Vqa</t>
  </si>
  <si>
    <t>Serenity By Lakeview Cellars Sauvignon Bl Vqa</t>
  </si>
  <si>
    <t>Serenity By Lakeview Cellars Baco Noir Vqa</t>
  </si>
  <si>
    <t>Ace Hill Lemon-Cayenne Radler</t>
  </si>
  <si>
    <t>Wellington Bootique Mixer</t>
  </si>
  <si>
    <t>Riverlore Sauvignon Blanc Marlborough</t>
  </si>
  <si>
    <t xml:space="preserve">Removed due to supply issues </t>
  </si>
  <si>
    <t>Luna Nuda Pinot Grigio Igt Vigneti Delle Dolomiti</t>
  </si>
  <si>
    <t>Boutari Agiorgitiko Nemea Red</t>
  </si>
  <si>
    <t>Boutari Moschofilero White</t>
  </si>
  <si>
    <t>Bersano Costalunga Barbera D'Asti Docg</t>
  </si>
  <si>
    <t>Calmel &amp; Joseph Villa Blanche Chardonnay Pays</t>
  </si>
  <si>
    <t>Champagne Tarlant Brut Reserve</t>
  </si>
  <si>
    <t>Producer Size changing from Small to Large</t>
  </si>
  <si>
    <t>899986001008</t>
  </si>
  <si>
    <t>5201022588506</t>
  </si>
  <si>
    <t>5201022574233</t>
  </si>
  <si>
    <t>8000192005502</t>
  </si>
  <si>
    <t>3760044790899</t>
  </si>
  <si>
    <t>3760098960033</t>
  </si>
  <si>
    <t>Bellwoods Brewery Jelly King With Plum &amp; Cherry</t>
  </si>
  <si>
    <r>
      <t xml:space="preserve">UPC Code updating: OLD UPC = 5010549305745; </t>
    </r>
    <r>
      <rPr>
        <b/>
        <sz val="11"/>
        <color theme="1"/>
        <rFont val="Calibri"/>
        <family val="2"/>
        <scheme val="minor"/>
      </rPr>
      <t xml:space="preserve">NEW UPC = 5010549305721 </t>
    </r>
    <r>
      <rPr>
        <sz val="11"/>
        <color theme="1"/>
        <rFont val="Calibri"/>
        <family val="2"/>
        <scheme val="minor"/>
      </rPr>
      <t>(no SCC change)</t>
    </r>
  </si>
  <si>
    <t>Dual-Tone Multi-Frequency</t>
  </si>
  <si>
    <t>Faris Farms Ernest Winter's Blush</t>
  </si>
  <si>
    <t>Pink House Wine Co. Rose VQA</t>
  </si>
  <si>
    <t>Jackson Triggs Reserve Cabernet Shiraz VQA</t>
  </si>
  <si>
    <t>The Dreaming Tree Chardonnay</t>
  </si>
  <si>
    <t>082100738526</t>
  </si>
  <si>
    <t>No Boats On Sunday Original Cider Light</t>
  </si>
  <si>
    <t>Old Style Pilsner 6x355ml</t>
  </si>
  <si>
    <t>Leinenkugels Lemon Shandy</t>
  </si>
  <si>
    <t>Santa Carolina Merlot Reserva</t>
  </si>
  <si>
    <t>Rickard's Radler 473ml (Molson)</t>
  </si>
  <si>
    <t>Nickel Brook Zap Sour  Ipa</t>
  </si>
  <si>
    <t>Nickel Brook Raspberry Uber Sour Beer</t>
  </si>
  <si>
    <t>Nickelbrook Equilibrium Esb</t>
  </si>
  <si>
    <t>Duplicitous Dry-Hopped Gose</t>
  </si>
  <si>
    <t>Nickel Brook Cucumber Lime Gose</t>
  </si>
  <si>
    <t>Magnotta Wunder Weisse</t>
  </si>
  <si>
    <t>Farmers Market Rosso Organic D'Italia</t>
  </si>
  <si>
    <t>Mill Street Hopped &amp; Confused Vol. 3</t>
  </si>
  <si>
    <t>O'Hara's Irish Stout Nitro</t>
  </si>
  <si>
    <r>
      <t xml:space="preserve">UPC Code updating: OLD UPC = 5391500602210; </t>
    </r>
    <r>
      <rPr>
        <b/>
        <sz val="11"/>
        <color theme="1"/>
        <rFont val="Calibri"/>
        <family val="2"/>
        <scheme val="minor"/>
      </rPr>
      <t xml:space="preserve">NEW UPC = 5391500602876 </t>
    </r>
    <r>
      <rPr>
        <sz val="11"/>
        <color theme="1"/>
        <rFont val="Calibri"/>
        <family val="2"/>
        <scheme val="minor"/>
      </rPr>
      <t>(no SCC change)</t>
    </r>
  </si>
  <si>
    <t>Magnotta Brewery Grupetto Light Lager</t>
  </si>
  <si>
    <r>
      <t xml:space="preserve">UPC &amp; SCC Code updating: OLD UPC = 727530564115; </t>
    </r>
    <r>
      <rPr>
        <b/>
        <sz val="11"/>
        <color theme="1"/>
        <rFont val="Calibri"/>
        <family val="2"/>
        <scheme val="minor"/>
      </rPr>
      <t>NEW UPC = 727530566850</t>
    </r>
    <r>
      <rPr>
        <sz val="11"/>
        <color theme="1"/>
        <rFont val="Calibri"/>
        <family val="2"/>
        <scheme val="minor"/>
      </rPr>
      <t xml:space="preserve"> | OLD SCC = 10727530564112;  </t>
    </r>
    <r>
      <rPr>
        <b/>
        <sz val="11"/>
        <color theme="1"/>
        <rFont val="Calibri"/>
        <family val="2"/>
        <scheme val="minor"/>
      </rPr>
      <t xml:space="preserve">NEW SCC = 10727530566857 </t>
    </r>
  </si>
  <si>
    <t>Muskoka Drifter</t>
  </si>
  <si>
    <r>
      <t>Supplying source changing from 001 - LCBO to</t>
    </r>
    <r>
      <rPr>
        <b/>
        <sz val="11"/>
        <color theme="1"/>
        <rFont val="Calibri"/>
        <family val="2"/>
        <scheme val="minor"/>
      </rPr>
      <t xml:space="preserve"> 3436 - LAKES OF MUSKOKA COTTAGE BREWERY</t>
    </r>
  </si>
  <si>
    <t>Growers Sparkling Spritz Peach Orange Blossom</t>
  </si>
  <si>
    <t>La Mascota Cabernet Sauvignon</t>
  </si>
  <si>
    <t>Cowbell Brewing Co. Draught Nitro Stout</t>
  </si>
  <si>
    <r>
      <t xml:space="preserve">Selling Unit Size changed: OLD was 473 mL; </t>
    </r>
    <r>
      <rPr>
        <b/>
        <sz val="11"/>
        <color theme="1"/>
        <rFont val="Calibri"/>
        <family val="2"/>
        <scheme val="minor"/>
      </rPr>
      <t>NEW: 404 mL</t>
    </r>
  </si>
  <si>
    <r>
      <t xml:space="preserve">UPC &amp; SCC Code updating: OLD UPC = 5391500602210; </t>
    </r>
    <r>
      <rPr>
        <b/>
        <sz val="11"/>
        <color theme="1"/>
        <rFont val="Calibri"/>
        <family val="2"/>
        <scheme val="minor"/>
      </rPr>
      <t>NEW UPC = 5391500602876</t>
    </r>
    <r>
      <rPr>
        <sz val="11"/>
        <color theme="1"/>
        <rFont val="Calibri"/>
        <family val="2"/>
        <scheme val="minor"/>
      </rPr>
      <t xml:space="preserve"> | OLD SCC = 05391500602241;  </t>
    </r>
    <r>
      <rPr>
        <b/>
        <sz val="11"/>
        <color theme="1"/>
        <rFont val="Calibri"/>
        <family val="2"/>
        <scheme val="minor"/>
      </rPr>
      <t xml:space="preserve">NEW SCC = 05391500602258 </t>
    </r>
  </si>
  <si>
    <t>Angry Orchard Crisp Apple</t>
  </si>
  <si>
    <t>Collective Arts Audio Visual Lager 6-Pack</t>
  </si>
  <si>
    <t>Collective Arts Jam Up Passion Fruit &amp; Peach</t>
  </si>
  <si>
    <t>Collective Arts Sherbet Sour</t>
  </si>
  <si>
    <t>Big Rock Craft Lager</t>
  </si>
  <si>
    <t>Fat Tire Amber Ale</t>
  </si>
  <si>
    <t>Lost Craft Fresh Tropical Radler</t>
  </si>
  <si>
    <t>Woodhouse Apa Beer</t>
  </si>
  <si>
    <t>Great Lakes Brewery-As Far Back As I Can Remember</t>
  </si>
  <si>
    <t>Spearhead Brewing Company 4 Isa</t>
  </si>
  <si>
    <t>Goose Island Next Coast Ipa</t>
  </si>
  <si>
    <t>Lost Craft Daylite Session Ipa</t>
  </si>
  <si>
    <t>Clifford Brewing Artificial Paradise Ipa</t>
  </si>
  <si>
    <t>Resolution Organic Kumquat Kettle Sour</t>
  </si>
  <si>
    <t>Omnipollo Mimmi Mimosa</t>
  </si>
  <si>
    <t>Omnipollo Aura</t>
  </si>
  <si>
    <t>Side Launch Kick Mule Beer</t>
  </si>
  <si>
    <t>Exchange Brewery Helles Export Lager</t>
  </si>
  <si>
    <t>All Or Nothing All-Out Effort American Amber</t>
  </si>
  <si>
    <t>Laker Light  6x355ml</t>
  </si>
  <si>
    <t>Impact Altbier Stack Brewing 6x473ml</t>
  </si>
  <si>
    <t>Lokal Dusseldorf Altbier</t>
  </si>
  <si>
    <t>Big Rock Cashmere Crooner +</t>
  </si>
  <si>
    <t>The Exchange Brewery * Session Saison</t>
  </si>
  <si>
    <t>Nita Beer Company Ginger Of Sussex</t>
  </si>
  <si>
    <t>Cassel Prorogation Brunch Stout - C</t>
  </si>
  <si>
    <t>Waterloo Summer 2018 Radler Pack</t>
  </si>
  <si>
    <t>Kalm</t>
  </si>
  <si>
    <t>5 Paddles Vanilla Wheat</t>
  </si>
  <si>
    <t>Skeleton Park Proper English Ale</t>
  </si>
  <si>
    <t>Aloha Friday Hibiscus Pale Ale</t>
  </si>
  <si>
    <t>Left Field Go Ahead Rasp Hib Gose</t>
  </si>
  <si>
    <t>Lakeport Pilsner 6x355ml</t>
  </si>
  <si>
    <t>Eastbound Brewing Basecamp Saison</t>
  </si>
  <si>
    <t>Eastbound Brewing Backpacker Blonde Ale</t>
  </si>
  <si>
    <t>Four Fathers New World Pilsner</t>
  </si>
  <si>
    <t>Mill Street 100th Meridian Organic Amber Lager</t>
  </si>
  <si>
    <t>Mill Street Tankhouse Ale 6x355ml Cans</t>
  </si>
  <si>
    <t>Mill Street West Coast Ipa</t>
  </si>
  <si>
    <t>Bulwark Cider Original</t>
  </si>
  <si>
    <t>Rainhard Brewing Daywalker Session Ipa</t>
  </si>
  <si>
    <t>Small Pony Barrel Works Mares In A Jam</t>
  </si>
  <si>
    <t>Mill Street Chai Porter (Nitro Series #1)</t>
  </si>
  <si>
    <t>The Hard Way Cider Co Rogue</t>
  </si>
  <si>
    <t>The Hard Way Cider Co Renegade</t>
  </si>
  <si>
    <t>William Street Beer Co. Farmstand Lager</t>
  </si>
  <si>
    <t>Small Pony Barrel Works Half Remembered Dream</t>
  </si>
  <si>
    <t>Junction Hazy Ipa</t>
  </si>
  <si>
    <t>Junction Craft Pilsner</t>
  </si>
  <si>
    <t>Caribru Lager</t>
  </si>
  <si>
    <t>Small Pony Barrel Works Jam Hands</t>
  </si>
  <si>
    <t>Rhythm &amp; Brews Symphony Ipa</t>
  </si>
  <si>
    <t>Buzz Hemp Beer  4pk-Bottles</t>
  </si>
  <si>
    <t>Harbinger American Pale Ale By Descendants Br</t>
  </si>
  <si>
    <t>Pengo Pally</t>
  </si>
  <si>
    <t>Reynard The Fox Rye Golden Ale</t>
  </si>
  <si>
    <t>El Buscador Cerveza By Descendants Beer</t>
  </si>
  <si>
    <t>Brasserie Tuque De Broue La Cavalerie D'Houblons</t>
  </si>
  <si>
    <t>Brasserie Tuque De Broue Portage Porter</t>
  </si>
  <si>
    <t>Hometown Brew Co. Blueberry Saison 4pk B +</t>
  </si>
  <si>
    <t>Amber Brewery Detroit Red Ale +</t>
  </si>
  <si>
    <t>The Hamilton Brewery Riley Red</t>
  </si>
  <si>
    <t>Maple Sports Ale</t>
  </si>
  <si>
    <t>Kapow! West Coast Ipa</t>
  </si>
  <si>
    <t>Harvest Gold</t>
  </si>
  <si>
    <t>Vagabonde</t>
  </si>
  <si>
    <t>Spitfire Kentish Ale</t>
  </si>
  <si>
    <t>Bobcaygeon Brewing Dockside Red Ale+</t>
  </si>
  <si>
    <r>
      <t xml:space="preserve">UPC &amp; SCC Code updating: OLD UPC = 627843695486; </t>
    </r>
    <r>
      <rPr>
        <b/>
        <sz val="11"/>
        <color theme="1"/>
        <rFont val="Calibri"/>
        <family val="2"/>
        <scheme val="minor"/>
      </rPr>
      <t>NEW UPC = 628504954034</t>
    </r>
    <r>
      <rPr>
        <sz val="11"/>
        <color theme="1"/>
        <rFont val="Calibri"/>
        <family val="2"/>
        <scheme val="minor"/>
      </rPr>
      <t xml:space="preserve"> | OLD SCC = 10627843695483;  </t>
    </r>
    <r>
      <rPr>
        <b/>
        <sz val="11"/>
        <color theme="1"/>
        <rFont val="Calibri"/>
        <family val="2"/>
        <scheme val="minor"/>
      </rPr>
      <t xml:space="preserve">NEW SCC = 10628504954031 </t>
    </r>
  </si>
  <si>
    <t>Longslice Brewery Klondike Clarke Lagered Ale</t>
  </si>
  <si>
    <t>Moet &amp; Chandon Imperial Champagne</t>
  </si>
  <si>
    <r>
      <t xml:space="preserve">UPC &amp; SCC Code updating: OLD UPC = 3185370000335; </t>
    </r>
    <r>
      <rPr>
        <b/>
        <sz val="11"/>
        <color theme="1"/>
        <rFont val="Calibri"/>
        <family val="2"/>
        <scheme val="minor"/>
      </rPr>
      <t>NEW UPC = 3185370744888</t>
    </r>
    <r>
      <rPr>
        <sz val="11"/>
        <color theme="1"/>
        <rFont val="Calibri"/>
        <family val="2"/>
        <scheme val="minor"/>
      </rPr>
      <t xml:space="preserve"> | OLD SCC = 3185370501313;  </t>
    </r>
    <r>
      <rPr>
        <b/>
        <sz val="11"/>
        <color theme="1"/>
        <rFont val="Calibri"/>
        <family val="2"/>
        <scheme val="minor"/>
      </rPr>
      <t xml:space="preserve">NEW SCC = 3185370745403 </t>
    </r>
  </si>
  <si>
    <t>Wallaroo Trail Chardonnay</t>
  </si>
  <si>
    <t>Calamus Heart on Rose Cans 4x250mL</t>
  </si>
  <si>
    <t>4x250mL</t>
  </si>
  <si>
    <t>Black Cellar Whisky Aged Red Wine</t>
  </si>
  <si>
    <t>Inniskillin Niagara Baco Noir</t>
  </si>
  <si>
    <r>
      <t xml:space="preserve">UPC &amp; SCC Code updating: OLD UPC = 620654132867; </t>
    </r>
    <r>
      <rPr>
        <b/>
        <sz val="11"/>
        <color theme="1"/>
        <rFont val="Calibri"/>
        <family val="2"/>
        <scheme val="minor"/>
      </rPr>
      <t>NEW UPC = 620654133109</t>
    </r>
    <r>
      <rPr>
        <sz val="11"/>
        <color theme="1"/>
        <rFont val="Calibri"/>
        <family val="2"/>
        <scheme val="minor"/>
      </rPr>
      <t xml:space="preserve"> | OLD SCC = 10620654132864;  </t>
    </r>
    <r>
      <rPr>
        <b/>
        <sz val="11"/>
        <color theme="1"/>
        <rFont val="Calibri"/>
        <family val="2"/>
        <scheme val="minor"/>
      </rPr>
      <t xml:space="preserve">NEW SCC = 10620654133106 </t>
    </r>
  </si>
  <si>
    <t>Amsterdam Natural Blonde 6 Pk-B</t>
  </si>
  <si>
    <t>Amsterdam Boneshaker Ipa 6 Pk-Bttls</t>
  </si>
  <si>
    <t>Moosehead Neon Radler Blue Raspberry</t>
  </si>
  <si>
    <t>Moosehead Neon Radler Tropical Punch</t>
  </si>
  <si>
    <t>Bobcaygeon Brewing Common Loon Apa</t>
  </si>
  <si>
    <r>
      <t xml:space="preserve">UPC &amp; SCC Code updating: OLD UPC = 627843607847; </t>
    </r>
    <r>
      <rPr>
        <b/>
        <sz val="11"/>
        <color rgb="FF000000"/>
        <rFont val="Calibri"/>
        <family val="2"/>
        <scheme val="minor"/>
      </rPr>
      <t>NEW UPC = 628504954027</t>
    </r>
    <r>
      <rPr>
        <sz val="11"/>
        <color rgb="FF000000"/>
        <rFont val="Calibri"/>
        <family val="2"/>
        <scheme val="minor"/>
      </rPr>
      <t xml:space="preserve"> | OLD SCC = 10627843607844;  </t>
    </r>
    <r>
      <rPr>
        <b/>
        <sz val="11"/>
        <color rgb="FF000000"/>
        <rFont val="Calibri"/>
        <family val="2"/>
        <scheme val="minor"/>
      </rPr>
      <t xml:space="preserve">NEW SCC = 10628504954024 </t>
    </r>
  </si>
  <si>
    <t>Mill Street Organic Pilsner</t>
  </si>
  <si>
    <t>Lagershed Original 6pk B +</t>
  </si>
  <si>
    <t>Waterloo Field Berry Radler</t>
  </si>
  <si>
    <r>
      <t xml:space="preserve">Supplying source changing from 3574 - THE BRICK BREWING CO to </t>
    </r>
    <r>
      <rPr>
        <b/>
        <sz val="11"/>
        <color theme="1"/>
        <rFont val="Calibri"/>
        <family val="2"/>
        <scheme val="minor"/>
      </rPr>
      <t>002 - TBS</t>
    </r>
  </si>
  <si>
    <t>Beaus Good Time Session Ipa</t>
  </si>
  <si>
    <t>Beau's Milkshake Ipa</t>
  </si>
  <si>
    <t>Beau's Rachel's Revenge</t>
  </si>
  <si>
    <t>Beau's Lug Tread 4pk Bottles</t>
  </si>
  <si>
    <t>Beau's Local Organic</t>
  </si>
  <si>
    <r>
      <t xml:space="preserve">Supplying source changing from 002 -TBS to </t>
    </r>
    <r>
      <rPr>
        <b/>
        <sz val="11"/>
        <color theme="1"/>
        <rFont val="Calibri"/>
        <family val="2"/>
        <scheme val="minor"/>
      </rPr>
      <t>9654 - BEAUS ALL NATURAL BREWING</t>
    </r>
  </si>
  <si>
    <t>Hi-Fi Triple Berry Sour</t>
  </si>
  <si>
    <r>
      <t xml:space="preserve">Supplying source changing from 002 -TBS to </t>
    </r>
    <r>
      <rPr>
        <b/>
        <sz val="11"/>
        <color theme="1"/>
        <rFont val="Calibri"/>
        <family val="2"/>
        <scheme val="minor"/>
      </rPr>
      <t>2218 - SONS OF KENT</t>
    </r>
  </si>
  <si>
    <r>
      <t xml:space="preserve">UPC Code updating: </t>
    </r>
    <r>
      <rPr>
        <sz val="11"/>
        <color rgb="FF000000"/>
        <rFont val="Calibri"/>
        <family val="2"/>
        <scheme val="minor"/>
      </rPr>
      <t xml:space="preserve">OLD UPC = 727530566201;  </t>
    </r>
    <r>
      <rPr>
        <b/>
        <sz val="11"/>
        <color rgb="FF000000"/>
        <rFont val="Calibri"/>
        <family val="2"/>
        <scheme val="minor"/>
      </rPr>
      <t xml:space="preserve">NEW UPC = 727530561411 </t>
    </r>
    <r>
      <rPr>
        <sz val="11"/>
        <color theme="1"/>
        <rFont val="Calibri"/>
        <family val="2"/>
        <scheme val="minor"/>
      </rPr>
      <t>(no SCC change)</t>
    </r>
  </si>
  <si>
    <t>Hedonism - Blueberry Strawberry Guava</t>
  </si>
  <si>
    <r>
      <t xml:space="preserve">Producer Size updated from Large to </t>
    </r>
    <r>
      <rPr>
        <b/>
        <sz val="11"/>
        <color theme="1"/>
        <rFont val="Calibri"/>
        <family val="2"/>
        <scheme val="minor"/>
      </rPr>
      <t>Small</t>
    </r>
  </si>
  <si>
    <t>Magnotta Cabernet Sauvignon Venture Series Vqa</t>
  </si>
  <si>
    <t>Waterloo Signature Series 6-Pack</t>
  </si>
  <si>
    <t>Laker Ice 6x473</t>
  </si>
  <si>
    <t>Sleeman Clear 2.0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</si>
  <si>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25985 . Cans per case updated. </t>
    </r>
    <r>
      <rPr>
        <sz val="11"/>
        <color theme="1"/>
        <rFont val="Calibri"/>
        <family val="2"/>
        <scheme val="minor"/>
      </rPr>
      <t xml:space="preserve">15406 = 24x473 mL case;  25985 = 12x473 mL case. supplying source will remain 0002 - TBS. </t>
    </r>
    <r>
      <rPr>
        <b/>
        <sz val="11"/>
        <color theme="1"/>
        <rFont val="Calibri"/>
        <family val="2"/>
        <scheme val="minor"/>
      </rPr>
      <t xml:space="preserve">SCC Changing. </t>
    </r>
    <r>
      <rPr>
        <sz val="11"/>
        <color theme="1"/>
        <rFont val="Calibri"/>
        <family val="2"/>
        <scheme val="minor"/>
      </rPr>
      <t xml:space="preserve">Old SCC = 20056910403756, </t>
    </r>
    <r>
      <rPr>
        <b/>
        <sz val="11"/>
        <color theme="1"/>
        <rFont val="Calibri"/>
        <family val="2"/>
        <scheme val="minor"/>
      </rPr>
      <t>NEW SCC = 056910304769. No Change to UPC</t>
    </r>
  </si>
  <si>
    <t>Shed Brewing Barrelshed No.1+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</si>
  <si>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17289 . Change from  18 bottles/case to 24 cans/case, </t>
    </r>
    <r>
      <rPr>
        <sz val="11"/>
        <color theme="1"/>
        <rFont val="Calibri"/>
        <family val="2"/>
        <scheme val="minor"/>
      </rPr>
      <t xml:space="preserve">supplying source will remain 0001 - LCBO </t>
    </r>
    <r>
      <rPr>
        <b/>
        <sz val="11"/>
        <color theme="1"/>
        <rFont val="Calibri"/>
        <family val="2"/>
        <scheme val="minor"/>
      </rPr>
      <t>New UPC = 4004866362605; NEW SCC = 14004866362602 *available now*</t>
    </r>
  </si>
  <si>
    <t>Okanagan Springs 1516 6 Pk C</t>
  </si>
  <si>
    <t>Henderson's Brewing Co. Export Stout</t>
  </si>
  <si>
    <t>Steam Whistle Session Lager</t>
  </si>
  <si>
    <t>Collingwood Freestyle Vanilla Oatmeal Stout</t>
  </si>
  <si>
    <t>Collingwood Freestyle Tropiskull Thunder Ipa</t>
  </si>
  <si>
    <t>Sons Of Kent Zephyr</t>
  </si>
  <si>
    <r>
      <t xml:space="preserve">Product Description Change: from Shiny Apple Cider to </t>
    </r>
    <r>
      <rPr>
        <b/>
        <sz val="11"/>
        <color theme="1"/>
        <rFont val="Calibri"/>
        <family val="2"/>
        <scheme val="minor"/>
      </rPr>
      <t>Shiny Apple Cider Rose</t>
    </r>
  </si>
  <si>
    <t>Belgian Moon 4x473ml</t>
  </si>
  <si>
    <t>Belgian Moon Honey Daze</t>
  </si>
  <si>
    <t>Belgian Moon Mango Wheat</t>
  </si>
  <si>
    <t>Belle Gueule 6 Pk-B +</t>
  </si>
  <si>
    <t>Lake Of Bays Toasty Toes Taster Pack</t>
  </si>
  <si>
    <t>Lake Of Bays Chch Top Story Pilsner</t>
  </si>
  <si>
    <t>Lake Of Bays Tropical Twister Session Sour</t>
  </si>
  <si>
    <t>Somersby Spritz Cider</t>
  </si>
  <si>
    <t>Saison Dupont</t>
  </si>
  <si>
    <t>Jelly King With Cranberry And Tangerine</t>
  </si>
  <si>
    <t>Bellwoods Ghost Orchid Ipa</t>
  </si>
  <si>
    <t>Jelly King With Mango Guava And Passionfruit</t>
  </si>
  <si>
    <t>Broadhead Lager</t>
  </si>
  <si>
    <t>Side Launch Passionate Sour</t>
  </si>
  <si>
    <t>Reticent Fox Orange-Peel Pale Ale</t>
  </si>
  <si>
    <t>Amsterdam Summer Six Pack</t>
  </si>
  <si>
    <t>Refined Fool Pouch Envy Australian Ipa</t>
  </si>
  <si>
    <t>Mill Street Juicy Union Passionfruit</t>
  </si>
  <si>
    <t>Mill Street Organic Kombucha Radler</t>
  </si>
  <si>
    <t>Brickworks Lemonade Cider Radler</t>
  </si>
  <si>
    <t>Mill Street Mango Milkshake Nitro Ipa</t>
  </si>
  <si>
    <t>Railway City - Merry &amp; Bright Cranberry Lager</t>
  </si>
  <si>
    <t>Bench Brewing Folklore Dark Sour Ale</t>
  </si>
  <si>
    <t>Creemore Winter Collection</t>
  </si>
  <si>
    <t>Sawdust City - Tropical Storm Mimosa</t>
  </si>
  <si>
    <t>The Exchange Brewery Too Short Session Ipa</t>
  </si>
  <si>
    <t>Gisela Dark Sour With Cherry</t>
  </si>
  <si>
    <t>Sawdust City Viva La Stout</t>
  </si>
  <si>
    <t>Puddicombe Family Tree Apple Pineapple Cider</t>
  </si>
  <si>
    <t>Puddicombe Family Tree Peach Cider</t>
  </si>
  <si>
    <t>Puddicombe Family Tree Apple Cranberry Cider</t>
  </si>
  <si>
    <t>Puddicombe Family Tree Apple Cherry Cider</t>
  </si>
  <si>
    <t>Family Tree Apple Cider Puddicome</t>
  </si>
  <si>
    <t>Lake Of Bays Lift Lock Lager 6pk-C</t>
  </si>
  <si>
    <t>Furnace Room Dynamo Cream Lager</t>
  </si>
  <si>
    <t>Furnace Room Wright House Red Ale</t>
  </si>
  <si>
    <t>Furnace Room Coyote Lookout Dark Lager</t>
  </si>
  <si>
    <t>Fresh Crisp White VQA</t>
  </si>
  <si>
    <t>Beringer Founders Estate Merlot</t>
  </si>
  <si>
    <t>Beringer Founders Estate Chardonnay</t>
  </si>
  <si>
    <t xml:space="preserve">Beringer Founders Estate Pinot Grigio </t>
  </si>
  <si>
    <t>089819008728</t>
  </si>
  <si>
    <t>089819028504</t>
  </si>
  <si>
    <t>089819113774</t>
  </si>
  <si>
    <r>
      <t xml:space="preserve">SCC Code updating: OLD SCC = 00089819015108; </t>
    </r>
    <r>
      <rPr>
        <b/>
        <sz val="11"/>
        <color theme="1"/>
        <rFont val="Calibri"/>
        <family val="2"/>
        <scheme val="minor"/>
      </rPr>
      <t xml:space="preserve">NEW SCC = 10089819008725 </t>
    </r>
    <r>
      <rPr>
        <sz val="11"/>
        <color theme="1"/>
        <rFont val="Calibri"/>
        <family val="2"/>
        <scheme val="minor"/>
      </rPr>
      <t>(no UPC change)</t>
    </r>
  </si>
  <si>
    <r>
      <t xml:space="preserve">SCC Code updating: OLD SCC = 00089819015115; </t>
    </r>
    <r>
      <rPr>
        <b/>
        <sz val="11"/>
        <color theme="1"/>
        <rFont val="Calibri"/>
        <family val="2"/>
        <scheme val="minor"/>
      </rPr>
      <t xml:space="preserve">NEW SCC = 10089819028501 </t>
    </r>
    <r>
      <rPr>
        <sz val="11"/>
        <color theme="1"/>
        <rFont val="Calibri"/>
        <family val="2"/>
        <scheme val="minor"/>
      </rPr>
      <t>(no UPC change)</t>
    </r>
  </si>
  <si>
    <r>
      <t xml:space="preserve">SCC Code updating: OLD SCC = 00089819004683; </t>
    </r>
    <r>
      <rPr>
        <b/>
        <sz val="11"/>
        <color theme="1"/>
        <rFont val="Calibri"/>
        <family val="2"/>
        <scheme val="minor"/>
      </rPr>
      <t xml:space="preserve">NEW SCC = 10089819113771 </t>
    </r>
    <r>
      <rPr>
        <sz val="11"/>
        <color theme="1"/>
        <rFont val="Calibri"/>
        <family val="2"/>
        <scheme val="minor"/>
      </rPr>
      <t>(no UPC change)</t>
    </r>
  </si>
  <si>
    <r>
      <t xml:space="preserve">UPC &amp; SCC Code updating: OLD UPC = 620654133109; </t>
    </r>
    <r>
      <rPr>
        <b/>
        <sz val="11"/>
        <color rgb="FF000000"/>
        <rFont val="Calibri"/>
        <family val="2"/>
        <scheme val="minor"/>
      </rPr>
      <t>NEW UPC = 620654132867</t>
    </r>
    <r>
      <rPr>
        <sz val="11"/>
        <color rgb="FF000000"/>
        <rFont val="Calibri"/>
        <family val="2"/>
        <scheme val="minor"/>
      </rPr>
      <t xml:space="preserve"> | OLD SCC = 10620654133106;  </t>
    </r>
    <r>
      <rPr>
        <b/>
        <sz val="11"/>
        <color rgb="FF000000"/>
        <rFont val="Calibri"/>
        <family val="2"/>
        <scheme val="minor"/>
      </rPr>
      <t xml:space="preserve">NEW SCC = 10620654132864 </t>
    </r>
  </si>
  <si>
    <t>Inniskillin Niagara Baco Noir VQA</t>
  </si>
  <si>
    <t>Strongbow Rose Apple Cider 440ml</t>
  </si>
  <si>
    <t>Steam Whistle Pale Ale</t>
  </si>
  <si>
    <t>Steam Whistle Pale Ale 473x6 Can</t>
  </si>
  <si>
    <t>0085000029084</t>
  </si>
  <si>
    <t>Longshot Rose</t>
  </si>
  <si>
    <t>Megalomaniac Selfie VQA</t>
  </si>
  <si>
    <t>Sons Of Kent -Spirit Wolf Coffee Blonde</t>
  </si>
  <si>
    <r>
      <t xml:space="preserve">Product Description Change: from Spirit Wolf Coffee Blonde to </t>
    </r>
    <r>
      <rPr>
        <b/>
        <sz val="11"/>
        <color theme="1"/>
        <rFont val="Calibri"/>
        <family val="2"/>
        <scheme val="minor"/>
      </rPr>
      <t>Lone Wolf Coffee Blonde</t>
    </r>
  </si>
  <si>
    <t>Capt25 Bailout Blonde Beer</t>
  </si>
  <si>
    <t>Old Style Pilsner Can</t>
  </si>
  <si>
    <r>
      <t xml:space="preserve">Discontinued by supplier. New SKU will be: </t>
    </r>
    <r>
      <rPr>
        <b/>
        <sz val="11"/>
        <color theme="1"/>
        <rFont val="Calibri"/>
        <family val="2"/>
        <scheme val="minor"/>
      </rPr>
      <t xml:space="preserve">LCBO# 28122 . Cans per case updated. </t>
    </r>
    <r>
      <rPr>
        <sz val="11"/>
        <color theme="1"/>
        <rFont val="Calibri"/>
        <family val="2"/>
        <scheme val="minor"/>
      </rPr>
      <t xml:space="preserve">478412 = 12x473 mL case;  28122 = 24x473 mL case. supplying source will remain 0002 - TBS. </t>
    </r>
    <r>
      <rPr>
        <b/>
        <sz val="11"/>
        <color theme="1"/>
        <rFont val="Calibri"/>
        <family val="2"/>
        <scheme val="minor"/>
      </rPr>
      <t xml:space="preserve">SCC Changing. </t>
    </r>
    <r>
      <rPr>
        <sz val="11"/>
        <color theme="1"/>
        <rFont val="Calibri"/>
        <family val="2"/>
        <scheme val="minor"/>
      </rPr>
      <t xml:space="preserve">Old SCC = 056327010895, </t>
    </r>
    <r>
      <rPr>
        <b/>
        <sz val="11"/>
        <color theme="1"/>
        <rFont val="Calibri"/>
        <family val="2"/>
        <scheme val="minor"/>
      </rPr>
      <t>NEW SCC = 40056327593938. No Change to UPC</t>
    </r>
  </si>
  <si>
    <t>Erdinger Weissebier Can Format</t>
  </si>
  <si>
    <r>
      <t xml:space="preserve">UPC &amp; SCC Code updating: OLD UPC = 4002103003014; </t>
    </r>
    <r>
      <rPr>
        <b/>
        <sz val="11"/>
        <color rgb="FF000000"/>
        <rFont val="Calibri"/>
        <family val="2"/>
        <scheme val="minor"/>
      </rPr>
      <t>NEW UPC = 4002103309727</t>
    </r>
    <r>
      <rPr>
        <sz val="11"/>
        <color rgb="FF000000"/>
        <rFont val="Calibri"/>
        <family val="2"/>
        <scheme val="minor"/>
      </rPr>
      <t xml:space="preserve"> | OLD SCC = 34002103003015;  </t>
    </r>
    <r>
      <rPr>
        <b/>
        <sz val="11"/>
        <color rgb="FF000000"/>
        <rFont val="Calibri"/>
        <family val="2"/>
        <scheme val="minor"/>
      </rPr>
      <t xml:space="preserve">NEW SCC = 34002103309728 </t>
    </r>
  </si>
  <si>
    <t>Keller Premium Lager</t>
  </si>
  <si>
    <t>Brock Street Brewing Strong Scotch Ale</t>
  </si>
  <si>
    <t>Lake Of Bays Early Warning Juicy Ipa</t>
  </si>
  <si>
    <t>Frank Brewing Co. Honey Habanero Spicy Ale</t>
  </si>
  <si>
    <t>Marius Rouge</t>
  </si>
  <si>
    <r>
      <t xml:space="preserve">UPC &amp; SCC Code updating: OLD UPC = 3391180015579; </t>
    </r>
    <r>
      <rPr>
        <b/>
        <sz val="11"/>
        <color rgb="FF000000"/>
        <rFont val="Calibri"/>
        <family val="2"/>
        <scheme val="minor"/>
      </rPr>
      <t>NEW UPC = 3391180020061</t>
    </r>
    <r>
      <rPr>
        <sz val="11"/>
        <color rgb="FF000000"/>
        <rFont val="Calibri"/>
        <family val="2"/>
        <scheme val="minor"/>
      </rPr>
      <t xml:space="preserve"> | OLD SCC = 03391180015593;  </t>
    </r>
    <r>
      <rPr>
        <b/>
        <sz val="11"/>
        <color rgb="FF000000"/>
        <rFont val="Calibri"/>
        <family val="2"/>
        <scheme val="minor"/>
      </rPr>
      <t xml:space="preserve">NEW SCC = 03391180020085 </t>
    </r>
  </si>
  <si>
    <r>
      <t xml:space="preserve">SCC Code Updated: OLD SCC = 08002062011309; </t>
    </r>
    <r>
      <rPr>
        <b/>
        <sz val="11"/>
        <color theme="1"/>
        <rFont val="Calibri"/>
        <family val="2"/>
        <scheme val="minor"/>
      </rPr>
      <t xml:space="preserve">NEW SCC = 08002062021841 </t>
    </r>
    <r>
      <rPr>
        <sz val="11"/>
        <color theme="1"/>
        <rFont val="Calibri"/>
        <family val="2"/>
        <scheme val="minor"/>
      </rPr>
      <t>(no UPC change)</t>
    </r>
  </si>
  <si>
    <t>Cheval Blanc 6 Pk-B+</t>
  </si>
  <si>
    <t>Shed Brewing Lagershed Darker</t>
  </si>
  <si>
    <t>Ebb &amp; Flow Raspberry Lemon Yuzu</t>
  </si>
  <si>
    <t>Le Reservoir Pinot Noir</t>
  </si>
  <si>
    <t>El Gringo Dark Red Tempranillo</t>
  </si>
  <si>
    <t>057496010259</t>
  </si>
  <si>
    <t>063657039656</t>
  </si>
  <si>
    <t>Felix &amp; Lucie Cabernetsavignon</t>
  </si>
  <si>
    <t>De Luze Bordeaux Aoc</t>
  </si>
  <si>
    <t>Relax Bubbles</t>
  </si>
  <si>
    <t>Relax Red Blend, Rheinhessen</t>
  </si>
  <si>
    <t>Lake Of Bays Aerial View Lagered Ale</t>
  </si>
  <si>
    <t>Woodhouse Raspberry Hibiscus Sour</t>
  </si>
  <si>
    <t>Woodhouse Nordic Pale Ale</t>
  </si>
  <si>
    <t>Woodhouse Lager</t>
  </si>
  <si>
    <t>Woodhouse Stout</t>
  </si>
  <si>
    <t>Woodhouse Ipa</t>
  </si>
  <si>
    <t>Loop Strawberry Berliner Weisse</t>
  </si>
  <si>
    <t>Loop Hoppy Sour</t>
  </si>
  <si>
    <t>Loop Gose</t>
  </si>
  <si>
    <r>
      <t xml:space="preserve">Supplying Source name changing: Old Name: 0189 - WOODHOUSE BREWING CO; </t>
    </r>
    <r>
      <rPr>
        <b/>
        <sz val="11"/>
        <color theme="1"/>
        <rFont val="Calibri"/>
        <family val="2"/>
        <scheme val="minor"/>
      </rPr>
      <t>NEW NAME: 0189 - WOODHOUSE JUNCTION</t>
    </r>
  </si>
  <si>
    <r>
      <t>Supplying source changing from 2823 - JUNCTION CRAFT BREWING to</t>
    </r>
    <r>
      <rPr>
        <b/>
        <sz val="11"/>
        <color theme="1"/>
        <rFont val="Calibri"/>
        <family val="2"/>
        <scheme val="minor"/>
      </rPr>
      <t xml:space="preserve"> 0189 - WOODHOUSE JUNCTION</t>
    </r>
  </si>
  <si>
    <t>Growers Rose Cider</t>
  </si>
  <si>
    <t>Carlsberg 6 Pk-B+</t>
  </si>
  <si>
    <r>
      <t xml:space="preserve">UPCCode updating: OLD UPC = 5740700997754 (on the bottle); </t>
    </r>
    <r>
      <rPr>
        <b/>
        <sz val="11"/>
        <color theme="1"/>
        <rFont val="Calibri"/>
        <family val="2"/>
        <scheme val="minor"/>
      </rPr>
      <t xml:space="preserve">NEW UPC = 5740700997853 (on the carrier) </t>
    </r>
    <r>
      <rPr>
        <sz val="11"/>
        <color theme="1"/>
        <rFont val="Calibri"/>
        <family val="2"/>
        <scheme val="minor"/>
      </rPr>
      <t>no SCC change</t>
    </r>
  </si>
  <si>
    <t>Bobcaygeon Brewing Amplitude Raspberry</t>
  </si>
  <si>
    <t>Flying Monkeys Memories Of The Future</t>
  </si>
  <si>
    <r>
      <t xml:space="preserve">temporarily Discontinued by Supplier. ETA pending </t>
    </r>
    <r>
      <rPr>
        <b/>
        <sz val="11"/>
        <color theme="1"/>
        <rFont val="Calibri"/>
        <family val="2"/>
        <scheme val="minor"/>
      </rPr>
      <t>*AVAILABLE TO ORDER 7/26/2022*</t>
    </r>
  </si>
  <si>
    <t>Spearhead Brewing Decoy Lager 6 Pack</t>
  </si>
  <si>
    <t>Sand Point Cabernet Sauvingon</t>
  </si>
  <si>
    <t>Hahn Pinot Noir</t>
  </si>
  <si>
    <t>Cavaliere D'Oro Delle Venezie Pinot Grigio</t>
  </si>
  <si>
    <t>089819116645</t>
  </si>
  <si>
    <t>086788888023</t>
  </si>
  <si>
    <t>Lake Of The Woods Sneaky Peach Peach Pale Ale</t>
  </si>
  <si>
    <t>Collective Arts Blood Orange And Cranberry Cider</t>
  </si>
  <si>
    <t>Lake Of Bays Stand Down Ipa</t>
  </si>
  <si>
    <t>Ascheri Langhe Barbera</t>
  </si>
  <si>
    <t>Wellington Brewery Blowout Cherry Vanilla Sour</t>
  </si>
  <si>
    <t>085000022450</t>
  </si>
  <si>
    <t>Dominion Sunsplit Ipa</t>
  </si>
  <si>
    <r>
      <t xml:space="preserve">Supplying Source Changing from 1023 - DOMINION CITY BREWING COMPANY to </t>
    </r>
    <r>
      <rPr>
        <b/>
        <sz val="11"/>
        <color theme="1"/>
        <rFont val="Calibri"/>
        <family val="2"/>
        <scheme val="minor"/>
      </rPr>
      <t>002 - TBS</t>
    </r>
  </si>
  <si>
    <t>Maclean's Maple Coffeee Mild</t>
  </si>
  <si>
    <r>
      <t xml:space="preserve">SCC Code Updated: OLD SCC = 08002062021407; </t>
    </r>
    <r>
      <rPr>
        <b/>
        <sz val="11"/>
        <color theme="1"/>
        <rFont val="Calibri"/>
        <family val="2"/>
        <scheme val="minor"/>
      </rPr>
      <t>NEW SCC = 08002062022312</t>
    </r>
    <r>
      <rPr>
        <sz val="11"/>
        <color theme="1"/>
        <rFont val="Calibri"/>
        <family val="2"/>
        <scheme val="minor"/>
      </rPr>
      <t xml:space="preserve"> (no UPC change)</t>
    </r>
  </si>
  <si>
    <t>High Park New Friends Session Ipa</t>
  </si>
  <si>
    <t>Calabogie Brewing Summer Solstice</t>
  </si>
  <si>
    <t>Muskoka Raspberry Thunder Milkshake Ipa</t>
  </si>
  <si>
    <t>Ernest Apple Strudel.</t>
  </si>
  <si>
    <r>
      <t>Supplying source changing from 0415 - FARIS FARMS to</t>
    </r>
    <r>
      <rPr>
        <b/>
        <sz val="11"/>
        <color theme="1"/>
        <rFont val="Calibri"/>
        <family val="2"/>
        <scheme val="minor"/>
      </rPr>
      <t xml:space="preserve"> 001 - LCBO</t>
    </r>
  </si>
  <si>
    <t>Elora Brewing Shine Ipa</t>
  </si>
  <si>
    <t>Railway City Orange Creamsic Ale 6-Pack</t>
  </si>
  <si>
    <t>Railway City Playa Cerveza 6-Pack</t>
  </si>
  <si>
    <t>Megalomaniac Local Squeeze Red VQA</t>
  </si>
  <si>
    <t>Game Changer The Obstinate Red VQA</t>
  </si>
  <si>
    <t>Thornbury Craft Co. Rad Pale Ale</t>
  </si>
  <si>
    <t>Thornbury Craft Co. Ferris Wheel Hazy Ipa</t>
  </si>
  <si>
    <r>
      <t>Supplying source changing from 8609 - THORNBURY VILLAGE INC. to</t>
    </r>
    <r>
      <rPr>
        <b/>
        <sz val="11"/>
        <color theme="1"/>
        <rFont val="Calibri"/>
        <family val="2"/>
        <scheme val="minor"/>
      </rPr>
      <t xml:space="preserve"> 001 - LCBO</t>
    </r>
  </si>
  <si>
    <t>Laker Ice 6-Pak Cans</t>
  </si>
  <si>
    <r>
      <t>Supplying source changing from TBS 002 to</t>
    </r>
    <r>
      <rPr>
        <b/>
        <sz val="11"/>
        <color theme="1"/>
        <rFont val="Calibri"/>
        <family val="2"/>
        <scheme val="minor"/>
      </rPr>
      <t xml:space="preserve"> 001 - LCBO</t>
    </r>
  </si>
  <si>
    <t>Ace Hill Island Lager</t>
  </si>
  <si>
    <t>Great Lakes Brewery - Karma Simcoe Ipa</t>
  </si>
  <si>
    <t>Collective Arts Jam Up Pineapple &amp; Tangerine</t>
  </si>
  <si>
    <t>Collective Arts Dark Fruit Citrus Gose</t>
  </si>
  <si>
    <t>Collective Arts Ipa No.22</t>
  </si>
  <si>
    <t>Collective Arts Pog Fresh Fruit Sour</t>
  </si>
  <si>
    <r>
      <t>Supplying source changing from 001 - LCBO to</t>
    </r>
    <r>
      <rPr>
        <b/>
        <sz val="11"/>
        <color theme="1"/>
        <rFont val="Calibri"/>
        <family val="2"/>
        <scheme val="minor"/>
      </rPr>
      <t xml:space="preserve"> 4678 - COLLECTIVE ARTS BREWING LIMITED</t>
    </r>
  </si>
  <si>
    <r>
      <t xml:space="preserve">SCC Code Updated: OLD SCC = 08002062011347; </t>
    </r>
    <r>
      <rPr>
        <b/>
        <sz val="11"/>
        <color theme="1"/>
        <rFont val="Calibri"/>
        <family val="2"/>
        <scheme val="minor"/>
      </rPr>
      <t xml:space="preserve">NEW SCC = 08002062021940 </t>
    </r>
    <r>
      <rPr>
        <sz val="11"/>
        <color theme="1"/>
        <rFont val="Calibri"/>
        <family val="2"/>
        <scheme val="minor"/>
      </rPr>
      <t>(no UPC change)</t>
    </r>
  </si>
  <si>
    <r>
      <t xml:space="preserve">SCC Code Updated: OLD SCC = 08002062011316; </t>
    </r>
    <r>
      <rPr>
        <b/>
        <sz val="11"/>
        <color theme="1"/>
        <rFont val="Calibri"/>
        <family val="2"/>
        <scheme val="minor"/>
      </rPr>
      <t xml:space="preserve">NEW SCC = 08002062021858 </t>
    </r>
    <r>
      <rPr>
        <sz val="11"/>
        <color theme="1"/>
        <rFont val="Calibri"/>
        <family val="2"/>
        <scheme val="minor"/>
      </rPr>
      <t>(no UPC change)</t>
    </r>
  </si>
  <si>
    <t>Beat The Heat</t>
  </si>
  <si>
    <r>
      <t xml:space="preserve">UPC Code Updated: OLD UPC = 628451939504; </t>
    </r>
    <r>
      <rPr>
        <b/>
        <sz val="11"/>
        <color theme="1"/>
        <rFont val="Calibri"/>
        <family val="2"/>
        <scheme val="minor"/>
      </rPr>
      <t xml:space="preserve">NEW UPC = 627843757986 </t>
    </r>
    <r>
      <rPr>
        <sz val="11"/>
        <color theme="1"/>
        <rFont val="Calibri"/>
        <family val="2"/>
        <scheme val="minor"/>
      </rPr>
      <t>(no SCC change)</t>
    </r>
  </si>
  <si>
    <t>Cowbell Brewing Co Oatmeal Vanilla Dark Lager</t>
  </si>
  <si>
    <t>Wizard Wolf Pale Ale</t>
  </si>
  <si>
    <t>Collective Arts Rhyme &amp; Reason  Extra Pale Ale 473</t>
  </si>
  <si>
    <t>The Exchange - White Ipa</t>
  </si>
  <si>
    <t>The Exchange Brewery Helles Export Lager 473ml</t>
  </si>
  <si>
    <t>The Exchange Brewery-New England Ipa</t>
  </si>
  <si>
    <t>Cassel Franco Artisinale Lager</t>
  </si>
  <si>
    <r>
      <t xml:space="preserve">UPC Code Updated: OLD UPC = 627843321729; </t>
    </r>
    <r>
      <rPr>
        <b/>
        <sz val="11"/>
        <color theme="1"/>
        <rFont val="Calibri"/>
        <family val="2"/>
        <scheme val="minor"/>
      </rPr>
      <t xml:space="preserve">NEW UPC = 699838705067 </t>
    </r>
    <r>
      <rPr>
        <sz val="11"/>
        <color theme="1"/>
        <rFont val="Calibri"/>
        <family val="2"/>
        <scheme val="minor"/>
      </rPr>
      <t>(no SCC change)</t>
    </r>
  </si>
  <si>
    <t>Cassel Brewery Caboose Ipa</t>
  </si>
  <si>
    <r>
      <t xml:space="preserve">UPC Code Updated: OLD UPC = 628110917058; </t>
    </r>
    <r>
      <rPr>
        <b/>
        <sz val="11"/>
        <color theme="1"/>
        <rFont val="Calibri"/>
        <family val="2"/>
        <scheme val="minor"/>
      </rPr>
      <t xml:space="preserve">NEW UPC = 699838705074 </t>
    </r>
    <r>
      <rPr>
        <sz val="11"/>
        <color theme="1"/>
        <rFont val="Calibri"/>
        <family val="2"/>
        <scheme val="minor"/>
      </rPr>
      <t>(no SCC change)</t>
    </r>
  </si>
  <si>
    <t>Bench Brewing Green Fields Sour Ale</t>
  </si>
  <si>
    <t>Dos Equis Amber 6 Pk-B +</t>
  </si>
  <si>
    <t>Railway City Ipa Give'R Pack</t>
  </si>
  <si>
    <t>Muskoka Big World Small Batch - Germany</t>
  </si>
  <si>
    <t>Shillow Brewing Mango Sour</t>
  </si>
  <si>
    <t>Robert Mondavi Private Selection Rum Barrels Merlot</t>
  </si>
  <si>
    <t>086003780316</t>
  </si>
  <si>
    <t>Fontella Chianti Docg</t>
  </si>
  <si>
    <t>Spier Signature Cabernet Sauvignon</t>
  </si>
  <si>
    <t>Stormy Bay Sauvignon Blanc</t>
  </si>
  <si>
    <t>10415</t>
  </si>
  <si>
    <t>10414</t>
  </si>
  <si>
    <t>13734</t>
  </si>
  <si>
    <t>230797</t>
  </si>
  <si>
    <t>Young's Double Chocolate Stout</t>
  </si>
  <si>
    <t>Sandbanks Summer Rose VQA</t>
  </si>
  <si>
    <t>Stel + Mar California Rose</t>
  </si>
  <si>
    <t>Omnipollo Halliza</t>
  </si>
  <si>
    <t>Ashton Brewingsession Ale</t>
  </si>
  <si>
    <t>Boshkung Life Session Lager</t>
  </si>
  <si>
    <t>Highlander Blackberry Wheat</t>
  </si>
  <si>
    <t>Aussie Ipa</t>
  </si>
  <si>
    <t>Sawdust City - Tropical Storm Daiquiri</t>
  </si>
  <si>
    <t>Lemon Lime Sour Radler</t>
  </si>
  <si>
    <t>Society Of Beer Drinking Ladies Raspberry Lemonade</t>
  </si>
  <si>
    <t>Omnipollo Lorpan Ipa</t>
  </si>
  <si>
    <t>Creemore Summer Collection Pack 2022</t>
  </si>
  <si>
    <t>Cowbell Brewing Co. Grapefruit Radler</t>
  </si>
  <si>
    <t>Hop City Hopper Creamsicle</t>
  </si>
  <si>
    <t>Millennial Passion Session Sour</t>
  </si>
  <si>
    <t>Wellington Brewery Layback Ipa</t>
  </si>
  <si>
    <t>Cowbell Brewing Co. Summer Collection</t>
  </si>
  <si>
    <t>Collective Arts Strawberry Pina Colada Sour</t>
  </si>
  <si>
    <t>Sunsetter Beach Lager</t>
  </si>
  <si>
    <t>Blueberry Wavin Wheat</t>
  </si>
  <si>
    <t>Brock Street Light Lime Lager</t>
  </si>
  <si>
    <t>Indie Alehouse Blackberry Raspberry Lemonade Stand</t>
  </si>
  <si>
    <t>Muskoka Big World Small Batch - South Korea</t>
  </si>
  <si>
    <t>4ganic Mix Pack</t>
  </si>
  <si>
    <t>Island Vibe Sour Series Passion Fruit Sour</t>
  </si>
  <si>
    <t>Bearded Bear New England Ipa 5.6%</t>
  </si>
  <si>
    <t>Maclean's Grapefruit Lager</t>
  </si>
  <si>
    <t>Caledon Hills Hot August Nights</t>
  </si>
  <si>
    <t>Beached Session Ipa</t>
  </si>
  <si>
    <t>Frika Fruta - Pinapple Pink Guava Sour</t>
  </si>
  <si>
    <t>Sawdust City - Patio Nights Sangria Pale Ale</t>
  </si>
  <si>
    <t>South Channel Ale</t>
  </si>
  <si>
    <t>Collingwood Freestyle Tiki Time Session Ipa</t>
  </si>
  <si>
    <t>Left Field - Scout Micro Ipa</t>
  </si>
  <si>
    <t>Bobcaygeon Brewing Houseboat Hefeweizen</t>
  </si>
  <si>
    <t>Exchange Apricot Berliner Weisse</t>
  </si>
  <si>
    <t>Nickel Brook Summer Mixed Pack</t>
  </si>
  <si>
    <t>Beau's Summer Mix Pack 2022</t>
  </si>
  <si>
    <t>Tomorrow Brew Co Honey Ginger Shandy</t>
  </si>
  <si>
    <t>Big Rock Rhine Stone Cowboy +</t>
  </si>
  <si>
    <t>Great Canadian Cider Co. Organic Cranberry Cider</t>
  </si>
  <si>
    <t>Paniza Brewing Journey To Mars</t>
  </si>
  <si>
    <t>Price Eddys So Many Friends Ipa</t>
  </si>
  <si>
    <t>Whitewater North Meets South Nordic Pale Ale</t>
  </si>
  <si>
    <t>Hockley Stout</t>
  </si>
  <si>
    <t>Tragically Hip - Lake Fever Lager</t>
  </si>
  <si>
    <t>J Howard Cellars Narciccist Riesling VQA</t>
  </si>
  <si>
    <t>Tawse Chardonnay Sketches of Niagara VQA</t>
  </si>
  <si>
    <t>Outset Sparkling VQA Can</t>
  </si>
  <si>
    <t>Rainhard Brewing Sweetback's Milk Stout</t>
  </si>
  <si>
    <t>Carling Ice 6x473ml</t>
  </si>
  <si>
    <t>Temporarily Discontinued by Supplier. ETA Spring 2023</t>
  </si>
  <si>
    <t>Longslice  Cake It 'Til You Make It Pastry Blonde</t>
  </si>
  <si>
    <t>Farmery Prairie Berry Ale</t>
  </si>
  <si>
    <t>Carlsberg Danish Pilsner Snap Pack</t>
  </si>
  <si>
    <r>
      <rPr>
        <sz val="11"/>
        <color theme="1"/>
        <rFont val="Calibri"/>
        <family val="2"/>
        <scheme val="minor"/>
      </rPr>
      <t xml:space="preserve">Selling Unit Size changed: OLD was 6x355mL (2130mL total selling unit size) mL; </t>
    </r>
    <r>
      <rPr>
        <b/>
        <sz val="11"/>
        <color theme="1"/>
        <rFont val="Calibri"/>
        <family val="2"/>
        <scheme val="minor"/>
      </rPr>
      <t>NEW: 6x330mL (1980mL total selling unit size)</t>
    </r>
  </si>
  <si>
    <t>Balls Falls White VQA</t>
  </si>
  <si>
    <t>Menage A Trois Gold Chardonnay</t>
  </si>
  <si>
    <t>Smoking Loon Sauvignon Blanc</t>
  </si>
  <si>
    <t xml:space="preserve">Domaine Chandon Brut </t>
  </si>
  <si>
    <t>Amsterdam 3 Speed Lunch Box Gift Pack</t>
  </si>
  <si>
    <t>1704 mL</t>
  </si>
  <si>
    <t>Amsterdam Makes U Pucker</t>
  </si>
  <si>
    <t>Amsterdam Fria Cerveza</t>
  </si>
  <si>
    <t>Amsterdam Neon Haze</t>
  </si>
  <si>
    <t>Amsterdam 3 Speed Lager 6-Pk</t>
  </si>
  <si>
    <t>Amsterdam Helles Golden Lager</t>
  </si>
  <si>
    <t>Amsterdam Yyz Summer Flight Pack</t>
  </si>
  <si>
    <t>Amsterdam Downtown Brown Ale</t>
  </si>
  <si>
    <t>Amsterdam Boneshaker 473ml -Tc</t>
  </si>
  <si>
    <t>Big Wheel Deluxe Amber</t>
  </si>
  <si>
    <t>Cruiser All Day Pale Ale Can</t>
  </si>
  <si>
    <t>Amsterdam Space Invader</t>
  </si>
  <si>
    <t>3 Speed Lager 568</t>
  </si>
  <si>
    <t>Amsterdam Blonde</t>
  </si>
  <si>
    <t>Amsterdam Boneshaker Ipa 6 Pk-Cans</t>
  </si>
  <si>
    <t>Jelly King With Raspberry And Peach</t>
  </si>
  <si>
    <t>Lagershed Original Single Serve</t>
  </si>
  <si>
    <t>Calabogie Christmas Pack</t>
  </si>
  <si>
    <t>High Road Cellars Pinot Grigio</t>
  </si>
  <si>
    <t>Budweiser</t>
  </si>
  <si>
    <r>
      <t xml:space="preserve">SCC Code Updated: OLD SCC = 062067335358; </t>
    </r>
    <r>
      <rPr>
        <b/>
        <sz val="11"/>
        <color theme="1"/>
        <rFont val="Calibri"/>
        <family val="2"/>
        <scheme val="minor"/>
      </rPr>
      <t xml:space="preserve">NEW SCC = 70062067335357 </t>
    </r>
    <r>
      <rPr>
        <sz val="11"/>
        <color theme="1"/>
        <rFont val="Calibri"/>
        <family val="2"/>
        <scheme val="minor"/>
      </rPr>
      <t>(no UPC change)</t>
    </r>
  </si>
  <si>
    <t>Three Thieves Pinot Noir</t>
  </si>
  <si>
    <t>Portillo Pinot Noir</t>
  </si>
  <si>
    <t>Sandbanks Baco Noir VQA BIB</t>
  </si>
  <si>
    <t xml:space="preserve">Moet &amp; Chandon Imperial Brut </t>
  </si>
  <si>
    <r>
      <t xml:space="preserve">SCC Code Updated: OLD SCC = 3185370745403; </t>
    </r>
    <r>
      <rPr>
        <b/>
        <sz val="11"/>
        <color theme="1"/>
        <rFont val="Calibri"/>
        <family val="2"/>
        <scheme val="minor"/>
      </rPr>
      <t xml:space="preserve">NEW SCC = 3185370751916 </t>
    </r>
    <r>
      <rPr>
        <sz val="11"/>
        <color theme="1"/>
        <rFont val="Calibri"/>
        <family val="2"/>
        <scheme val="minor"/>
      </rPr>
      <t>(no UPC change)</t>
    </r>
  </si>
  <si>
    <t>20 Bees Riesling VQA</t>
  </si>
  <si>
    <t>Inniskillin Cabernet Merlot VQA</t>
  </si>
  <si>
    <t>Refined Fool Cabin Jeans Cream Ale</t>
  </si>
  <si>
    <r>
      <t xml:space="preserve">Producer Size changing from Small to </t>
    </r>
    <r>
      <rPr>
        <b/>
        <sz val="11"/>
        <color theme="1"/>
        <rFont val="Calibri"/>
        <family val="2"/>
        <scheme val="minor"/>
      </rPr>
      <t>Large</t>
    </r>
    <r>
      <rPr>
        <sz val="11"/>
        <color theme="1"/>
        <rFont val="Calibri"/>
        <family val="2"/>
        <scheme val="minor"/>
      </rPr>
      <t xml:space="preserve"> </t>
    </r>
  </si>
  <si>
    <t>Bud Light Mixer</t>
  </si>
  <si>
    <t>Ardiel Cider House Victoria Pear Cider</t>
  </si>
  <si>
    <t>Black Bellows Beach Freak</t>
  </si>
  <si>
    <t>Mikkeller Fresh Start</t>
  </si>
  <si>
    <t>Rush X Henderson Holiday Collector Pack</t>
  </si>
  <si>
    <t>Old Milwaukee</t>
  </si>
  <si>
    <t xml:space="preserve">Woodbridge by Robert Mondavi Rose </t>
  </si>
  <si>
    <t>086003820647</t>
  </si>
  <si>
    <t>Fresh Possibilities Sparkling Rose VQA</t>
  </si>
  <si>
    <t>Fresh Horizons Sparkling Moscato VQA</t>
  </si>
  <si>
    <t>Strewn Nurture White Blend VQA</t>
  </si>
  <si>
    <t>True History Brewing Farmer In The Sky</t>
  </si>
  <si>
    <t>Shiny Apple Cider Caramel Apple</t>
  </si>
  <si>
    <t>No. 99 Hazy Ipa Wayne Gretzky Craft Brewing</t>
  </si>
  <si>
    <t>Goose Island Juice Island Hazy Ipa</t>
  </si>
  <si>
    <r>
      <t xml:space="preserve">Product Description Change: from Belgian Moon to </t>
    </r>
    <r>
      <rPr>
        <b/>
        <sz val="11"/>
        <color theme="1"/>
        <rFont val="Calibri"/>
        <family val="2"/>
        <scheme val="minor"/>
      </rPr>
      <t>Blue Moon</t>
    </r>
  </si>
  <si>
    <t>Graffigna Malbec</t>
  </si>
  <si>
    <t>Trapiche Broquel Malbec</t>
  </si>
  <si>
    <t>The Magic Box Amazing Cabernet</t>
  </si>
  <si>
    <t>Yalumba Y Series Cabernet Sauvignon</t>
  </si>
  <si>
    <t>Angove Organic Chardonnay</t>
  </si>
  <si>
    <t>Las Mulas Chardonnay Reserva Organic</t>
  </si>
  <si>
    <t>Nederburg Shiraz</t>
  </si>
  <si>
    <t>Fleur Du Cap Chardonnay</t>
  </si>
  <si>
    <t>Yellowglen Pink Sparkling</t>
  </si>
  <si>
    <t>Cat Lady Ipa</t>
  </si>
  <si>
    <r>
      <t xml:space="preserve">UPC Code Updated: OLD UPC = 628055125037; </t>
    </r>
    <r>
      <rPr>
        <b/>
        <sz val="11"/>
        <color theme="1"/>
        <rFont val="Calibri"/>
        <family val="2"/>
        <scheme val="minor"/>
      </rPr>
      <t xml:space="preserve">NEW UPC = 687181947210 </t>
    </r>
    <r>
      <rPr>
        <sz val="11"/>
        <color theme="1"/>
        <rFont val="Calibri"/>
        <family val="2"/>
        <scheme val="minor"/>
      </rPr>
      <t>(no SCC change)</t>
    </r>
  </si>
  <si>
    <r>
      <t xml:space="preserve">Supplying/Producer Change: from DIAMOND ESTATES WINES &amp; SPIRITS LTD. to </t>
    </r>
    <r>
      <rPr>
        <b/>
        <sz val="11"/>
        <color theme="1"/>
        <rFont val="Calibri"/>
        <family val="2"/>
        <scheme val="minor"/>
      </rPr>
      <t>TZAFONA CELLARS</t>
    </r>
  </si>
  <si>
    <t>Tzafona Cellars Nava Blanc VQA</t>
  </si>
  <si>
    <t>Tzafona Cellars Nava Ruby VQA</t>
  </si>
  <si>
    <t>Dab Ultimate Light</t>
  </si>
  <si>
    <t>Lily Sparkling Wine VQA</t>
  </si>
  <si>
    <t>Inniskillin Merlot VQA</t>
  </si>
  <si>
    <t>Sandbanks Route 33 Red VQA</t>
  </si>
  <si>
    <t>Sandbanks Route 33 White VQA</t>
  </si>
  <si>
    <t>Pelee Island Bourbon Barrel Reserve Baco Noir VQA</t>
  </si>
  <si>
    <t>Spearhead Brewing Decoy Lager</t>
  </si>
  <si>
    <t>Spearhead Light</t>
  </si>
  <si>
    <t>Paso Creek Cabernet Sauvignon Paso Robles</t>
  </si>
  <si>
    <t>083085915018</t>
  </si>
  <si>
    <t>West Avenue Cider Cherriosity</t>
  </si>
  <si>
    <t>Guinness Extra Stout  6 Pk-B</t>
  </si>
  <si>
    <t>St. Ambroise Black Ipa+</t>
  </si>
  <si>
    <t>08002062000068</t>
  </si>
  <si>
    <t>08002062000419</t>
  </si>
  <si>
    <t xml:space="preserve">Masi Bonacossta Valpolicella Classico </t>
  </si>
  <si>
    <t>08002062000037</t>
  </si>
  <si>
    <t>08002062001744</t>
  </si>
  <si>
    <t>08002062008132</t>
  </si>
  <si>
    <t>The Audacity Of Thomas G. Bright Merlot Cab VQA</t>
  </si>
  <si>
    <t>063657039816</t>
  </si>
  <si>
    <t>Pepperwood Grove Old Vine Zinfandel</t>
  </si>
  <si>
    <t>Tawse Sketched Rose VQA</t>
  </si>
  <si>
    <t>017444000251</t>
  </si>
  <si>
    <t>Hockley Dark</t>
  </si>
  <si>
    <t>Our Story Pinot Grigio VQA</t>
  </si>
  <si>
    <t>Open Pinot Grigio VQA Bag In Box</t>
  </si>
  <si>
    <t>063657041949</t>
  </si>
  <si>
    <t>Buena Vista Legendary Badge Zinfandel</t>
  </si>
  <si>
    <t>081188107507</t>
  </si>
  <si>
    <t>Sandbanks Baco Noir VQA Bag In Box</t>
  </si>
  <si>
    <t>Inniskillin Niagara Pinot Grigio</t>
  </si>
  <si>
    <t>063657042410</t>
  </si>
  <si>
    <t>Beringer Founders Estate Pinot Grigio</t>
  </si>
  <si>
    <t>Sterling Vintner's Merlot</t>
  </si>
  <si>
    <t>Refined Fool Single Friend Cold Ipa</t>
  </si>
  <si>
    <t>Quinas Premium Lager</t>
  </si>
  <si>
    <t>Laker Ice 6x355</t>
  </si>
  <si>
    <t>098137112116</t>
  </si>
  <si>
    <t>Casillero Del Diablo Reserve Malbec</t>
  </si>
  <si>
    <t>Gnarly Head Chardonnay</t>
  </si>
  <si>
    <t xml:space="preserve">Jackson Triggs Chardonnay VQA </t>
  </si>
  <si>
    <t>Closson Chase The Brock Chardonnay VQA</t>
  </si>
  <si>
    <t>Pombucha - Harmony Of Cider &amp; Kombucha</t>
  </si>
  <si>
    <t xml:space="preserve">Cupcake Light Hearted Chardonnay </t>
  </si>
  <si>
    <t>Lake Of Bays Storm Chaser Black Ipa</t>
  </si>
  <si>
    <t>Innis &amp; Gunn The Original 6b</t>
  </si>
  <si>
    <t>Somersby Mixer 6-Pack</t>
  </si>
  <si>
    <t>Lake Of Bays Red Sky Night Peach Cranberry Radler</t>
  </si>
  <si>
    <t>No. 99 Amber Ale Wayne Gretzky Craft Brewing</t>
  </si>
  <si>
    <t>Shawn &amp; Ed Lagershed Light Aluminum 4 Pack</t>
  </si>
  <si>
    <t>Lake Of Bays Forest Dweller Dark Berry Sour</t>
  </si>
  <si>
    <t>Lake Of Bays Day Dreamin' Tropical Fruit Pale Ale</t>
  </si>
  <si>
    <t>Sandbanks Pinot Grigio VQA</t>
  </si>
  <si>
    <t>Black Cellar Cabernet Sauvignon</t>
  </si>
  <si>
    <t>Jelly King With Plum</t>
  </si>
  <si>
    <t>Longslice Brewery Summer In The City Lagered Ale</t>
  </si>
  <si>
    <t>Veltins Pilsener</t>
  </si>
  <si>
    <t>temporarily Discontinued by Supplier. ETA April 2023</t>
  </si>
  <si>
    <t>Liberty Village Pumpkin Spice Dry Cider</t>
  </si>
  <si>
    <t>Whitewater Pumpkin Spice Espresso Porter.</t>
  </si>
  <si>
    <t>Grand River Highballer Pumpkin Ale</t>
  </si>
  <si>
    <t>Big Rig Pumpkin Porter</t>
  </si>
  <si>
    <t>Lake Of Bays Wild North Pumpkin Autumn</t>
  </si>
  <si>
    <t>Hifi Mango Passionfruit Sour</t>
  </si>
  <si>
    <t>Flying Monkeys Freakshow Crush Hazy Ipa</t>
  </si>
  <si>
    <t>Ace Hill Low-Cal Mexican Lager 4x355</t>
  </si>
  <si>
    <t>Sleeman Clear 2.0 Peach</t>
  </si>
  <si>
    <t xml:space="preserve">Fresita Sparkling Wine </t>
  </si>
  <si>
    <t>CRANK Lite Lager</t>
  </si>
  <si>
    <t>Warsteiner Double Hoppe+</t>
  </si>
  <si>
    <t>Brouczech Premium Lager+</t>
  </si>
  <si>
    <t>Wellington Brewery Bootique Mixer</t>
  </si>
  <si>
    <t>Wellington - A Stitch In Time Ipa</t>
  </si>
  <si>
    <t>Sandbanks Smugglers White VQA</t>
  </si>
  <si>
    <t>Sandbanks Shoreline Cabernet Merlot VQA</t>
  </si>
  <si>
    <t>Henderson X Rush Canadian Golden Ale</t>
  </si>
  <si>
    <t>Figo Italian Pilsner</t>
  </si>
  <si>
    <t>Henderson Rush Canadian Golden Ale 6-Pack</t>
  </si>
  <si>
    <t>Power Play - Light Lager</t>
  </si>
  <si>
    <t>Henderson's Brewing Pearson Express Ipa</t>
  </si>
  <si>
    <t>Henderson Brewing Co. Food Truck Beer +</t>
  </si>
  <si>
    <t>Henderson's Brewing Co. Henderson's Best +</t>
  </si>
  <si>
    <t>Henderson Brewing Food Truck Blonde Ale 4pk-C +</t>
  </si>
  <si>
    <t>Malus Ciderhouse Hopped Cider</t>
  </si>
  <si>
    <t>Town Brewery Mad Nice Ipa</t>
  </si>
  <si>
    <t xml:space="preserve">Jackson-Triggs Reserve Meritage VQA </t>
  </si>
  <si>
    <t>High Road Cellars Cabernet Merlot</t>
  </si>
  <si>
    <t>Open Pinot Grigio VQA</t>
  </si>
  <si>
    <t>063657038550</t>
  </si>
  <si>
    <t>Warsteiner Premium Lager 6 Pk-B +</t>
  </si>
  <si>
    <t>Bellwoods Brewery Jelly King With Tangerine</t>
  </si>
  <si>
    <t>Beaches Brewing Pale Ale</t>
  </si>
  <si>
    <t>Berry Mango-Low Radler</t>
  </si>
  <si>
    <t>Dragan Brewing Piva Pilsner</t>
  </si>
  <si>
    <t>Dragan Brewing West India Pale Ale</t>
  </si>
  <si>
    <t>Sip Elderflower Cherry Radler</t>
  </si>
  <si>
    <t>Hops &amp; Robbers Sucker Punch Ipa</t>
  </si>
  <si>
    <t>Tomorrow Brew Co. Canadian Pale Ale</t>
  </si>
  <si>
    <t>Bouchard Pere &amp; Fils Pinot Noir Bourgogne</t>
  </si>
  <si>
    <t>Oggi Botter Pinot Grigio Doc</t>
  </si>
  <si>
    <t>Sue-Ann Fancy Farm Girl Frivolous White VQA</t>
  </si>
  <si>
    <t>Jacob's Creek Double Barrel Chardonnay</t>
  </si>
  <si>
    <t>Thornbury Craft Clark Is In Session Session Ipa</t>
  </si>
  <si>
    <t>Bellwoods Monogamy Mosaic Ipa</t>
  </si>
  <si>
    <t>Coors Light 6 Pk-Tc</t>
  </si>
  <si>
    <t>Molson Canadian 6 Pk-Tc</t>
  </si>
  <si>
    <t>Miller Genuine Draught 6pk-B</t>
  </si>
  <si>
    <t>Niagara Cider Rose Gold Berry Soaked Cider</t>
  </si>
  <si>
    <t>Niagara Cider Peach Chardonnay</t>
  </si>
  <si>
    <t>Society Of Beer Drinking Ladies Dry Hopped Cider</t>
  </si>
  <si>
    <t>Closson Chase Vineyard Chardonnay VQA</t>
  </si>
  <si>
    <t>Fresco di Masi Bianco</t>
  </si>
  <si>
    <t>Sweetgrass Golden Ale</t>
  </si>
  <si>
    <t>20 Bees Pinot Grigio Vidal VQA BIB</t>
  </si>
  <si>
    <t>Description/Blend change (from Pinot Grigio to Pinot Grigio Vidal), no UPC/SCC changes</t>
  </si>
  <si>
    <t>Magnotta Small Batch Pear Cider</t>
  </si>
  <si>
    <t>1 In 12 Phantasm Neipa</t>
  </si>
  <si>
    <t>Moet &amp; Chandon Brut</t>
  </si>
  <si>
    <t>Thornbury Craft Co.Haze For Dayz</t>
  </si>
  <si>
    <t>Busch Ice 6 Pk-Tc</t>
  </si>
  <si>
    <t>Mill Street Original Organic 6x473</t>
  </si>
  <si>
    <r>
      <t xml:space="preserve">SCC Code Updated: OLD SCC = 70062067380630; </t>
    </r>
    <r>
      <rPr>
        <b/>
        <sz val="11"/>
        <color theme="1"/>
        <rFont val="Arial"/>
        <family val="2"/>
      </rPr>
      <t>NEW SCC = 70062067335388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</si>
  <si>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10855315003010; </t>
    </r>
    <r>
      <rPr>
        <b/>
        <sz val="11"/>
        <color theme="1"/>
        <rFont val="Arial"/>
        <family val="2"/>
      </rPr>
      <t>NEW SCC = 10855315001771</t>
    </r>
    <r>
      <rPr>
        <sz val="11"/>
        <color theme="1"/>
        <rFont val="Arial"/>
        <family val="2"/>
      </rPr>
      <t xml:space="preserve"> (no UPC change)</t>
    </r>
  </si>
  <si>
    <r>
      <t xml:space="preserve">UPC Code Updated: OLD UPC = 4066600010197; </t>
    </r>
    <r>
      <rPr>
        <b/>
        <sz val="11"/>
        <color theme="1"/>
        <rFont val="Arial"/>
        <family val="2"/>
      </rPr>
      <t>NEW UPC = 4066600601920</t>
    </r>
    <r>
      <rPr>
        <sz val="11"/>
        <color theme="1"/>
        <rFont val="Arial"/>
        <family val="2"/>
      </rPr>
      <t xml:space="preserve"> (no SCC change)</t>
    </r>
  </si>
  <si>
    <r>
      <t>Supplying source changing from 001 - LCBO to</t>
    </r>
    <r>
      <rPr>
        <b/>
        <sz val="11"/>
        <color theme="1"/>
        <rFont val="Arial"/>
        <family val="2"/>
      </rPr>
      <t xml:space="preserve"> 8609 - THORNBURY VILLAGE INC.</t>
    </r>
  </si>
  <si>
    <r>
      <t xml:space="preserve">SCC Code Updated: OLD SCC = 3185370751916; </t>
    </r>
    <r>
      <rPr>
        <b/>
        <sz val="11"/>
        <color theme="1"/>
        <rFont val="Arial"/>
        <family val="2"/>
      </rPr>
      <t>NEW SCC = 3185370501313</t>
    </r>
    <r>
      <rPr>
        <sz val="11"/>
        <color theme="1"/>
        <rFont val="Arial"/>
        <family val="2"/>
      </rPr>
      <t xml:space="preserve"> (no UPC change)</t>
    </r>
  </si>
  <si>
    <r>
      <t>Supplying source changing from 5085 - SWEETGRASS BREWING CO. to</t>
    </r>
    <r>
      <rPr>
        <b/>
        <sz val="11"/>
        <color theme="1"/>
        <rFont val="Arial"/>
        <family val="2"/>
      </rPr>
      <t xml:space="preserve"> 0086 - SPEARHEAD BREWING COMPANY</t>
    </r>
  </si>
  <si>
    <r>
      <t xml:space="preserve">SCC Code Updated: OLD SCC = 08002062011293; </t>
    </r>
    <r>
      <rPr>
        <b/>
        <sz val="11"/>
        <color theme="1"/>
        <rFont val="Arial"/>
        <family val="2"/>
      </rPr>
      <t>NEW SCC = 08002062022930</t>
    </r>
    <r>
      <rPr>
        <sz val="11"/>
        <color theme="1"/>
        <rFont val="Arial"/>
        <family val="2"/>
      </rPr>
      <t xml:space="preserve"> (no UPC change)</t>
    </r>
  </si>
  <si>
    <r>
      <t>Supplying source changing from 2732 - NIAGARA CIDER CO. to</t>
    </r>
    <r>
      <rPr>
        <b/>
        <sz val="11"/>
        <color theme="1"/>
        <rFont val="Arial"/>
        <family val="2"/>
      </rPr>
      <t xml:space="preserve"> 0798 - BENCH BREWING COMPANY</t>
    </r>
  </si>
  <si>
    <r>
      <t xml:space="preserve">SCC Code Updated: OLD SCC = 05632700795600; </t>
    </r>
    <r>
      <rPr>
        <b/>
        <sz val="11"/>
        <color theme="1"/>
        <rFont val="Arial"/>
        <family val="2"/>
      </rPr>
      <t>NEW SCC = 10056327183930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</si>
  <si>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05632700794900; </t>
    </r>
    <r>
      <rPr>
        <b/>
        <sz val="11"/>
        <color theme="1"/>
        <rFont val="Arial"/>
        <family val="2"/>
      </rPr>
      <t>NEW SCC = 10056327073934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</si>
  <si>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056327012417; </t>
    </r>
    <r>
      <rPr>
        <b/>
        <sz val="11"/>
        <color theme="1"/>
        <rFont val="Arial"/>
        <family val="2"/>
      </rPr>
      <t>NEW SCC = 10056327012384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</si>
  <si>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08002062021490; </t>
    </r>
    <r>
      <rPr>
        <b/>
        <sz val="11"/>
        <color theme="1"/>
        <rFont val="Arial"/>
        <family val="2"/>
      </rPr>
      <t>NEW SCC = 08002062023425</t>
    </r>
    <r>
      <rPr>
        <sz val="11"/>
        <color theme="1"/>
        <rFont val="Arial"/>
        <family val="2"/>
      </rPr>
      <t xml:space="preserve"> (no UPC change)</t>
    </r>
  </si>
  <si>
    <r>
      <t>Supplying source changing from 0766 - HENDERSON BREWING CO to</t>
    </r>
    <r>
      <rPr>
        <b/>
        <sz val="11"/>
        <color theme="1"/>
        <rFont val="Arial"/>
        <family val="2"/>
      </rPr>
      <t xml:space="preserve"> 0798 - BENCH BREWING COMPANY</t>
    </r>
  </si>
  <si>
    <r>
      <t>Supplying source changing from 1924 - POST GAME BREWING to</t>
    </r>
    <r>
      <rPr>
        <b/>
        <sz val="11"/>
        <color theme="1"/>
        <rFont val="Arial"/>
        <family val="2"/>
      </rPr>
      <t xml:space="preserve"> 8447 - RAILWAY CITY BREWING COMPANY</t>
    </r>
  </si>
  <si>
    <r>
      <t>Supplying source changing from 4326 - CRANK LITE BEV CORP to</t>
    </r>
    <r>
      <rPr>
        <b/>
        <sz val="11"/>
        <color theme="1"/>
        <rFont val="Arial"/>
        <family val="2"/>
      </rPr>
      <t xml:space="preserve"> 8447 - RAILWAY CITY BREWING COMPANY</t>
    </r>
  </si>
  <si>
    <r>
      <t>Supplying source changing from 002 - TBS to</t>
    </r>
    <r>
      <rPr>
        <b/>
        <sz val="11"/>
        <color theme="1"/>
        <rFont val="Arial"/>
        <family val="2"/>
      </rPr>
      <t xml:space="preserve"> 1023 - DOMINION CITY BREWING COMPANY</t>
    </r>
  </si>
  <si>
    <r>
      <t xml:space="preserve">SCC Code Updated: OLD SCC = 10094922651447; </t>
    </r>
    <r>
      <rPr>
        <b/>
        <sz val="11"/>
        <color theme="1"/>
        <rFont val="Arial"/>
        <family val="2"/>
      </rPr>
      <t>NEW SCC = 10793888081496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</si>
  <si>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08002062022312; </t>
    </r>
    <r>
      <rPr>
        <b/>
        <sz val="11"/>
        <color theme="1"/>
        <rFont val="Arial"/>
        <family val="2"/>
      </rPr>
      <t>NEW SCC = 08002062023210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</si>
  <si>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08002062011170; </t>
    </r>
    <r>
      <rPr>
        <b/>
        <sz val="11"/>
        <color theme="1"/>
        <rFont val="Arial"/>
        <family val="2"/>
      </rPr>
      <t>NEW SCC = 08002062021964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</si>
  <si>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08002062011347; </t>
    </r>
    <r>
      <rPr>
        <b/>
        <sz val="11"/>
        <color theme="1"/>
        <rFont val="Arial"/>
        <family val="2"/>
      </rPr>
      <t>NEW SCC = 08002062021940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</si>
  <si>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08002062011194; </t>
    </r>
    <r>
      <rPr>
        <b/>
        <sz val="11"/>
        <color theme="1"/>
        <rFont val="Arial"/>
        <family val="2"/>
      </rPr>
      <t>NEW SCC = 08002062022039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</si>
  <si>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08002062010920; </t>
    </r>
    <r>
      <rPr>
        <b/>
        <sz val="11"/>
        <color theme="1"/>
        <rFont val="Arial"/>
        <family val="2"/>
      </rPr>
      <t>NEW SCC = 08002062022008</t>
    </r>
    <r>
      <rPr>
        <sz val="11"/>
        <color theme="1"/>
        <rFont val="Arial"/>
        <family val="2"/>
      </rPr>
      <t xml:space="preserve"> (no UPC change)</t>
    </r>
  </si>
  <si>
    <r>
      <t xml:space="preserve">UPC &amp; SCC Code updating: OLD UPC = 180756000995; </t>
    </r>
    <r>
      <rPr>
        <b/>
        <sz val="11"/>
        <color rgb="FF000000"/>
        <rFont val="Arial"/>
        <family val="2"/>
      </rPr>
      <t xml:space="preserve">NEW UPC = 180756000117 </t>
    </r>
    <r>
      <rPr>
        <sz val="11"/>
        <color rgb="FF000000"/>
        <rFont val="Arial"/>
        <family val="2"/>
      </rPr>
      <t xml:space="preserve"> | OLD SCC = 10180756000763;  </t>
    </r>
    <r>
      <rPr>
        <b/>
        <sz val="11"/>
        <color rgb="FF000000"/>
        <rFont val="Arial"/>
        <family val="2"/>
      </rPr>
      <t xml:space="preserve">NEW SCC = 10180756000381  </t>
    </r>
  </si>
  <si>
    <r>
      <t xml:space="preserve">UPC &amp; SCC Code updating: OLD UPC = 3337690172975; </t>
    </r>
    <r>
      <rPr>
        <b/>
        <sz val="11"/>
        <color rgb="FF000000"/>
        <rFont val="Arial"/>
        <family val="2"/>
      </rPr>
      <t xml:space="preserve">NEW UPC = 3337690175822 </t>
    </r>
    <r>
      <rPr>
        <sz val="11"/>
        <color rgb="FF000000"/>
        <rFont val="Arial"/>
        <family val="2"/>
      </rPr>
      <t xml:space="preserve"> | OLD SCC = 13337690172972;  </t>
    </r>
    <r>
      <rPr>
        <b/>
        <sz val="11"/>
        <color rgb="FF000000"/>
        <rFont val="Arial"/>
        <family val="2"/>
      </rPr>
      <t xml:space="preserve">NEW SCC = 73337690175821  </t>
    </r>
  </si>
  <si>
    <r>
      <t xml:space="preserve">UPC &amp; SCC Code updating: OLD UPC = 082054104422; </t>
    </r>
    <r>
      <rPr>
        <b/>
        <sz val="11"/>
        <color rgb="FF000000"/>
        <rFont val="Arial"/>
        <family val="2"/>
      </rPr>
      <t xml:space="preserve">NEW UPC = 082054104545 </t>
    </r>
    <r>
      <rPr>
        <sz val="11"/>
        <color rgb="FF000000"/>
        <rFont val="Arial"/>
        <family val="2"/>
      </rPr>
      <t xml:space="preserve"> | OLD SCC = 00082054204429;  </t>
    </r>
    <r>
      <rPr>
        <b/>
        <sz val="11"/>
        <color rgb="FF000000"/>
        <rFont val="Arial"/>
        <family val="2"/>
      </rPr>
      <t xml:space="preserve">NEW SCC = 10082054204518  </t>
    </r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</si>
  <si>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31452  . Change from 4x355ml to 6x355ml selling unit format </t>
    </r>
    <r>
      <rPr>
        <sz val="11"/>
        <color rgb="FF000000"/>
        <rFont val="Arial"/>
        <family val="2"/>
      </rPr>
      <t xml:space="preserve">supplying source will remain 0001 - LCBO </t>
    </r>
    <r>
      <rPr>
        <b/>
        <sz val="11"/>
        <color rgb="FF000000"/>
        <rFont val="Arial"/>
        <family val="2"/>
      </rPr>
      <t>New UPC = 051497365684 ; NEW SCC = 10051497365681 *available Spring 2023*</t>
    </r>
  </si>
  <si>
    <r>
      <t xml:space="preserve">UPC &amp; SCC Code updating: OLD UPC = 5010327658544; </t>
    </r>
    <r>
      <rPr>
        <b/>
        <sz val="11"/>
        <color rgb="FF000000"/>
        <rFont val="Arial"/>
        <family val="2"/>
      </rPr>
      <t xml:space="preserve">NEW UPC = 736040519614 </t>
    </r>
    <r>
      <rPr>
        <sz val="11"/>
        <color rgb="FF000000"/>
        <rFont val="Arial"/>
        <family val="2"/>
      </rPr>
      <t xml:space="preserve"> | OLD SCC = 15010327658541;  </t>
    </r>
    <r>
      <rPr>
        <b/>
        <sz val="11"/>
        <color rgb="FF000000"/>
        <rFont val="Arial"/>
        <family val="2"/>
      </rPr>
      <t xml:space="preserve">NEW SCC = 05060190560901  </t>
    </r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</si>
  <si>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30575 . Change from 6x341ml  to 6x330ml selling unit format </t>
    </r>
    <r>
      <rPr>
        <sz val="11"/>
        <color rgb="FF000000"/>
        <rFont val="Arial"/>
        <family val="2"/>
      </rPr>
      <t xml:space="preserve">supplying source will remain 0001 - LCBO </t>
    </r>
    <r>
      <rPr>
        <b/>
        <sz val="11"/>
        <color rgb="FF000000"/>
        <rFont val="Arial"/>
        <family val="2"/>
      </rPr>
      <t>New UPC = 5000213024188 ; NEW SCC = 05000213024195  *available winter 2023*</t>
    </r>
  </si>
  <si>
    <r>
      <t xml:space="preserve">SCC Code updating: </t>
    </r>
    <r>
      <rPr>
        <sz val="11"/>
        <color rgb="FF000000"/>
        <rFont val="Arial"/>
        <family val="2"/>
      </rPr>
      <t xml:space="preserve">OLD SCC = 3080216053684;  </t>
    </r>
    <r>
      <rPr>
        <b/>
        <sz val="11"/>
        <color rgb="FF000000"/>
        <rFont val="Arial"/>
        <family val="2"/>
      </rPr>
      <t>NEW SCC = 30802160536846 (no UPC change)</t>
    </r>
  </si>
  <si>
    <r>
      <t xml:space="preserve">UPC &amp; SCC Code updating: OLD UPC = 874702000152; </t>
    </r>
    <r>
      <rPr>
        <b/>
        <sz val="11"/>
        <color rgb="FF000000"/>
        <rFont val="Arial"/>
        <family val="2"/>
      </rPr>
      <t>NEW UPC = 874702000343</t>
    </r>
    <r>
      <rPr>
        <sz val="11"/>
        <color rgb="FF000000"/>
        <rFont val="Arial"/>
        <family val="2"/>
      </rPr>
      <t xml:space="preserve"> | OLD SCC = 10074702000207;  </t>
    </r>
    <r>
      <rPr>
        <b/>
        <sz val="11"/>
        <color rgb="FF000000"/>
        <rFont val="Arial"/>
        <family val="2"/>
      </rPr>
      <t xml:space="preserve">NEW SCC = 10074702000382 </t>
    </r>
  </si>
  <si>
    <r>
      <t>Supplying source changing from 1812 - CRAFT BRAND CO to</t>
    </r>
    <r>
      <rPr>
        <b/>
        <sz val="11"/>
        <color theme="1"/>
        <rFont val="Arial"/>
        <family val="2"/>
      </rPr>
      <t xml:space="preserve"> 001 - LCBO</t>
    </r>
  </si>
  <si>
    <t>Waterloo Pineapple Radler</t>
  </si>
  <si>
    <t>Waterloo Signature Series - Winter'22 2838ml</t>
  </si>
  <si>
    <t>Wellington Brewery Queen Of Craft Ipa</t>
  </si>
  <si>
    <t>Muskoka Peach Of Mind</t>
  </si>
  <si>
    <t>Muskoka Winter Beard Nitro Latte Stout</t>
  </si>
  <si>
    <t>Rally Beer Extra Mile Session Ipa</t>
  </si>
  <si>
    <t>Muskoka Tread Lightly 473 Ml Can</t>
  </si>
  <si>
    <t>Muskoka Survival Pack 2022</t>
  </si>
  <si>
    <t>Discontinued by Supplier - to be replaced with 31454 Muskoka Tread Lightly 568 mL</t>
  </si>
  <si>
    <t>Discontinued by Supplier - to be replaced with 31457 Muskoka Survival Pack 2023</t>
  </si>
  <si>
    <t>Side Launch Midnight Lager</t>
  </si>
  <si>
    <t>Side Launch Coffee Lager</t>
  </si>
  <si>
    <t>Side Launch Easy Breezy Light Lager</t>
  </si>
  <si>
    <t>Side Launch Wanderlost Sour</t>
  </si>
  <si>
    <t>Somersby Watermelon Cider 4x473ml Cans</t>
  </si>
  <si>
    <t>Waterloo Guava Lime Radler</t>
  </si>
  <si>
    <t>Waterloo Signature Series Spring '23</t>
  </si>
  <si>
    <r>
      <t>Supplying source changing from 3574 - THE BRICK BREWING CO to</t>
    </r>
    <r>
      <rPr>
        <b/>
        <sz val="11"/>
        <color theme="1"/>
        <rFont val="Arial"/>
        <family val="2"/>
      </rPr>
      <t xml:space="preserve"> 002 - TBS</t>
    </r>
  </si>
  <si>
    <t>Lake Of Bays Burning Ember Red Ipa</t>
  </si>
  <si>
    <t>Smithavens Taster Pack 6x500ml +</t>
  </si>
  <si>
    <t>Smithavens Brewing Dunkelweizen 500ml +</t>
  </si>
  <si>
    <t>Smithavens Schwarzbier</t>
  </si>
  <si>
    <t>Smithavensbrewing Co. Kellerbier Can</t>
  </si>
  <si>
    <r>
      <t xml:space="preserve">Product Description Change: Smithavens Taster Pack 6x500ml + to </t>
    </r>
    <r>
      <rPr>
        <b/>
        <sz val="11"/>
        <color theme="1"/>
        <rFont val="Calibri"/>
        <family val="2"/>
        <scheme val="minor"/>
      </rPr>
      <t>Havens Brewing Co Taster Pack 6x500ml +</t>
    </r>
  </si>
  <si>
    <r>
      <t xml:space="preserve">Product Description Change: Smithavens Brewing Dunkelweizen 500ml + to </t>
    </r>
    <r>
      <rPr>
        <b/>
        <sz val="11"/>
        <color theme="1"/>
        <rFont val="Calibri"/>
        <family val="2"/>
        <scheme val="minor"/>
      </rPr>
      <t>Havens Brewing Co Dunkelweizen 500ml +</t>
    </r>
  </si>
  <si>
    <r>
      <t xml:space="preserve">Product Description Change: Smithavens Keller 18 X500ml to </t>
    </r>
    <r>
      <rPr>
        <b/>
        <sz val="11"/>
        <color theme="1"/>
        <rFont val="Calibri"/>
        <family val="2"/>
        <scheme val="minor"/>
      </rPr>
      <t>Havens Brewing Co Keller 18 X500ml</t>
    </r>
  </si>
  <si>
    <r>
      <t xml:space="preserve">Product Description Change: Smithavens Schwarzbier + to </t>
    </r>
    <r>
      <rPr>
        <b/>
        <sz val="11"/>
        <color theme="1"/>
        <rFont val="Calibri"/>
        <family val="2"/>
        <scheme val="minor"/>
      </rPr>
      <t>Havens Brewing Co Schwarzbier</t>
    </r>
  </si>
  <si>
    <r>
      <t xml:space="preserve">Product Description Change: Smithavensbrewing Co. Kellerbier Can to </t>
    </r>
    <r>
      <rPr>
        <b/>
        <sz val="11"/>
        <color theme="1"/>
        <rFont val="Calibri"/>
        <family val="2"/>
        <scheme val="minor"/>
      </rPr>
      <t>Havens Brewing Co. Kellerbier Can</t>
    </r>
  </si>
  <si>
    <t>G. Marquis Red Line Baco Gamay VQA BIB</t>
  </si>
  <si>
    <t>G. Marquis Red Line Vidal Riesling VQA BIB</t>
  </si>
  <si>
    <t>Carling Ice</t>
  </si>
  <si>
    <r>
      <t xml:space="preserve">UPC Code Updated: OLD UPC = 056327263932; </t>
    </r>
    <r>
      <rPr>
        <b/>
        <sz val="11"/>
        <color theme="1"/>
        <rFont val="Arial"/>
        <family val="2"/>
      </rPr>
      <t>NEW UPC = 056327022751</t>
    </r>
    <r>
      <rPr>
        <sz val="11"/>
        <color theme="1"/>
        <rFont val="Arial"/>
        <family val="2"/>
      </rPr>
      <t xml:space="preserve"> (no SCC change)</t>
    </r>
  </si>
  <si>
    <t>Stranger Than Fiction With Coffee And Maple Syrup</t>
  </si>
  <si>
    <t>Collective Arts Raspberry Peach Bellini Sour</t>
  </si>
  <si>
    <t>Brickworks Ciderhouse Mix Pack 2021</t>
  </si>
  <si>
    <t>Mill Street Watermelon Wheat</t>
  </si>
  <si>
    <t>Mill Street Raspberry &amp; Blood Orange Sour</t>
  </si>
  <si>
    <t>Mill Street Juice Cloud Ipa</t>
  </si>
  <si>
    <t>Mill Street Organic Sangria</t>
  </si>
  <si>
    <t>Mill Street Fruit Market Mix Pack 2022</t>
  </si>
  <si>
    <t>Brickworks Ciderhouse Mix Pack 2022</t>
  </si>
  <si>
    <t>Brickwoworks Ciderhouse Pineapple Agave Cider</t>
  </si>
  <si>
    <t>Mill Street Organic Mix Pack</t>
  </si>
  <si>
    <t>Omnipollo Orange Pineapple Bianca</t>
  </si>
  <si>
    <t>Omnipollo Fantom House Ipa</t>
  </si>
  <si>
    <t>Chapoutier Belleruche CDR White AOC</t>
  </si>
  <si>
    <r>
      <t xml:space="preserve">UPC &amp; SCC Code updating: OLD UPC = 3391180019317; </t>
    </r>
    <r>
      <rPr>
        <b/>
        <sz val="11"/>
        <color rgb="FF000000"/>
        <rFont val="Arial"/>
        <family val="2"/>
      </rPr>
      <t xml:space="preserve">NEW UPC = 3391180024298 </t>
    </r>
    <r>
      <rPr>
        <sz val="11"/>
        <color rgb="FF000000"/>
        <rFont val="Arial"/>
        <family val="2"/>
      </rPr>
      <t xml:space="preserve"> | OLD SCC = 3391180019331;  </t>
    </r>
    <r>
      <rPr>
        <b/>
        <sz val="11"/>
        <color rgb="FF000000"/>
        <rFont val="Arial"/>
        <family val="2"/>
      </rPr>
      <t xml:space="preserve">NEW SCC = 03391180024311 </t>
    </r>
  </si>
  <si>
    <t>Stel+Mar Cabernet Sauvignon</t>
  </si>
  <si>
    <t>O'Leary Cabernet Merlot VQA</t>
  </si>
  <si>
    <t>O'Leary Chardonnay Unoaked VQA Ddp</t>
  </si>
  <si>
    <t>Woodbridge By Robert Mondavi Sauvignon Blanc</t>
  </si>
  <si>
    <t>Canvas Brewing Huntsville Hefenweizen</t>
  </si>
  <si>
    <t>Railway City - Jumbo Ipa</t>
  </si>
  <si>
    <t>Chernigivske - Support Ukraine Beer</t>
  </si>
  <si>
    <t>Michelob Ultra 6pkcan</t>
  </si>
  <si>
    <t>Grolsch Pilsner 6pk Shrink</t>
  </si>
  <si>
    <t>Grolsch Premium Pilsner+</t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</si>
  <si>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31510  . Change from 6x355ml to 4x473ml selling unit format </t>
    </r>
    <r>
      <rPr>
        <sz val="11"/>
        <color rgb="FF000000"/>
        <rFont val="Arial"/>
        <family val="2"/>
      </rPr>
      <t xml:space="preserve">supplying source will remain 0001 - LCBO </t>
    </r>
    <r>
      <rPr>
        <b/>
        <sz val="11"/>
        <color rgb="FF000000"/>
        <rFont val="Arial"/>
        <family val="2"/>
      </rPr>
      <t xml:space="preserve">New UPC = 746546048167 ; NEW SCC = 20746546012162 </t>
    </r>
    <r>
      <rPr>
        <sz val="11"/>
        <color theme="1"/>
        <rFont val="Arial"/>
        <family val="2"/>
      </rPr>
      <t>*Available early June*</t>
    </r>
  </si>
  <si>
    <t>Pelee Island Chardonnay VQA BIB</t>
  </si>
  <si>
    <t>Pelee Island Pink VQA BIB</t>
  </si>
  <si>
    <t>Open Rose VQA BIB</t>
  </si>
  <si>
    <t>063657044254</t>
  </si>
  <si>
    <t>20 Bees Baco Noir VQA</t>
  </si>
  <si>
    <t>Belhaven Black Scottish Stout+</t>
  </si>
  <si>
    <t>Unibroue Blanche De Chambly Bleuet</t>
  </si>
  <si>
    <t>Miller High Life 6x355</t>
  </si>
  <si>
    <t>Birra Castello Lager 6 Pk-B+</t>
  </si>
  <si>
    <r>
      <t xml:space="preserve">UPC Code updating: OLD UPC = 8023400001332; </t>
    </r>
    <r>
      <rPr>
        <b/>
        <sz val="11"/>
        <color rgb="FF000000"/>
        <rFont val="Arial"/>
        <family val="2"/>
      </rPr>
      <t xml:space="preserve">NEW UPC = 8023400008478 </t>
    </r>
    <r>
      <rPr>
        <sz val="11"/>
        <color theme="1"/>
        <rFont val="Arial"/>
        <family val="2"/>
      </rPr>
      <t xml:space="preserve"> (no SCC change)</t>
    </r>
  </si>
  <si>
    <t>St-Ambroise Apricot Wheat Ale 6 Pk-B +</t>
  </si>
  <si>
    <t>St. Ambroise Pale Ale 6 Pk-B +</t>
  </si>
  <si>
    <t>St. Ambroise Oatmeal Stout 6 Pk-B +</t>
  </si>
  <si>
    <t>Bud Light Peach</t>
  </si>
  <si>
    <t>Open Fresh'N Fruity Gamay VQA</t>
  </si>
  <si>
    <t>Newcastle Brown Ale 6 Pk-B +</t>
  </si>
  <si>
    <t>Electro Toniq - Juniper Saison</t>
  </si>
  <si>
    <t>Muskoka Craft Lager 6x473</t>
  </si>
  <si>
    <t>Muskoka Detour 6x473</t>
  </si>
  <si>
    <t>Muskoka Mad Tom 6x473</t>
  </si>
  <si>
    <t>Muskoka Tread Lightly 6x473ml</t>
  </si>
  <si>
    <t>Muskoka Drifter 473ml Can</t>
  </si>
  <si>
    <t>Muskoka Ebb &amp; Flow Five Alive</t>
  </si>
  <si>
    <t>Muskoka Cream Ale 473ml Can</t>
  </si>
  <si>
    <t>Muskoka Hazed And Confused 473ml Can</t>
  </si>
  <si>
    <t>Muskoka Craft Lager 473 Ml Can</t>
  </si>
  <si>
    <t>Muskoka Mad Tom Ipa 473 Ml Can</t>
  </si>
  <si>
    <t>Muskoka Detour 473 Ml Can</t>
  </si>
  <si>
    <t>Muskoka Survival Pack 2023</t>
  </si>
  <si>
    <t xml:space="preserve">Muskoka Tread Lightly </t>
  </si>
  <si>
    <t>Muskoka Wheat Pineapple</t>
  </si>
  <si>
    <t>Rally Backcountry Session Lager</t>
  </si>
  <si>
    <t>Rally Trail Blazer</t>
  </si>
  <si>
    <r>
      <t xml:space="preserve">Supplying source changing from 3436 - LAKES OF MUSKOKA COTTAGE BREWERY to </t>
    </r>
    <r>
      <rPr>
        <b/>
        <sz val="11"/>
        <color rgb="FF000000"/>
        <rFont val="Arial"/>
        <family val="2"/>
      </rPr>
      <t>001 - LCBO</t>
    </r>
  </si>
  <si>
    <r>
      <t xml:space="preserve">Supplying source changing from 3431 - RALLY BEER COMPANY LIMITED  to </t>
    </r>
    <r>
      <rPr>
        <b/>
        <sz val="11"/>
        <color rgb="FF000000"/>
        <rFont val="Arial"/>
        <family val="2"/>
      </rPr>
      <t>001 - LCBO</t>
    </r>
  </si>
  <si>
    <t>Stockyards Brewing Pacific Dreams West Coast Ipa</t>
  </si>
  <si>
    <t>Sip Juniper Lime  Radler</t>
  </si>
  <si>
    <t xml:space="preserve">Viewpointe Big Bluff White VQA </t>
  </si>
  <si>
    <t xml:space="preserve">Tzafona Cellars Nava Blanc VQA </t>
  </si>
  <si>
    <r>
      <t xml:space="preserve">SCC Code Updated: OLD SCC = 10874537002243; </t>
    </r>
    <r>
      <rPr>
        <b/>
        <sz val="11"/>
        <color theme="1"/>
        <rFont val="Arial"/>
        <family val="2"/>
      </rPr>
      <t xml:space="preserve">NEW SCC = 10628693542026 </t>
    </r>
    <r>
      <rPr>
        <sz val="11"/>
        <color theme="1"/>
        <rFont val="Arial"/>
        <family val="2"/>
      </rPr>
      <t>(no UPC change)</t>
    </r>
  </si>
  <si>
    <r>
      <t xml:space="preserve">UPC &amp; SCC Code updating: OLD UPC = 874537002253; </t>
    </r>
    <r>
      <rPr>
        <b/>
        <sz val="11"/>
        <color rgb="FF000000"/>
        <rFont val="Arial"/>
        <family val="2"/>
      </rPr>
      <t xml:space="preserve">NEW UPC = 628693542036 </t>
    </r>
    <r>
      <rPr>
        <sz val="11"/>
        <color rgb="FF000000"/>
        <rFont val="Arial"/>
        <family val="2"/>
      </rPr>
      <t xml:space="preserve"> | OLD SCC = 10874537002250;  </t>
    </r>
    <r>
      <rPr>
        <b/>
        <sz val="11"/>
        <color rgb="FF000000"/>
        <rFont val="Arial"/>
        <family val="2"/>
      </rPr>
      <t xml:space="preserve">NEW SCC = 10628693542033 </t>
    </r>
  </si>
  <si>
    <t>Sprucewood Shores Sweet Select VQA</t>
  </si>
  <si>
    <t>House Wine Co. Vidal Moscato VQA</t>
  </si>
  <si>
    <t>Yellow Tail Bubbles</t>
  </si>
  <si>
    <r>
      <t xml:space="preserve">Discontinued by supplier </t>
    </r>
    <r>
      <rPr>
        <b/>
        <sz val="11"/>
        <color theme="1"/>
        <rFont val="Arial"/>
        <family val="2"/>
      </rPr>
      <t xml:space="preserve">(replace with sku item #30835 12x750mL, SCC changed: </t>
    </r>
    <r>
      <rPr>
        <sz val="11"/>
        <color theme="1"/>
        <rFont val="Arial"/>
        <family val="2"/>
      </rPr>
      <t>Old SCC = 20839743000466</t>
    </r>
    <r>
      <rPr>
        <b/>
        <sz val="11"/>
        <color theme="1"/>
        <rFont val="Arial"/>
        <family val="2"/>
      </rPr>
      <t xml:space="preserve">, NEW SCC = 19322214009487. No change to UPC) </t>
    </r>
  </si>
  <si>
    <t>Innis &amp; Gunn Original 6tc</t>
  </si>
  <si>
    <t>Innis &amp; Gunn The Original 500ml +</t>
  </si>
  <si>
    <t>Innis &amp; Gunn Lager+</t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</si>
  <si>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33529 . Change from 6x500ml  to 6x473ml selling unit format </t>
    </r>
    <r>
      <rPr>
        <sz val="11"/>
        <color rgb="FF000000"/>
        <rFont val="Arial"/>
        <family val="2"/>
      </rPr>
      <t xml:space="preserve">supplying source will remain 0001 - LCBO </t>
    </r>
    <r>
      <rPr>
        <b/>
        <sz val="11"/>
        <color rgb="FF000000"/>
        <rFont val="Arial"/>
        <family val="2"/>
      </rPr>
      <t>New UPC = 196852767434 ; NEW SCC = 05060190565548 *available Summer 2023*</t>
    </r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</si>
  <si>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33531 . Change from 500ml  to 473ml selling unit format </t>
    </r>
    <r>
      <rPr>
        <sz val="11"/>
        <color rgb="FF000000"/>
        <rFont val="Arial"/>
        <family val="2"/>
      </rPr>
      <t xml:space="preserve">supplying source will remain 0001 - LCBO </t>
    </r>
    <r>
      <rPr>
        <b/>
        <sz val="11"/>
        <color rgb="FF000000"/>
        <rFont val="Arial"/>
        <family val="2"/>
      </rPr>
      <t>New UPC = 196852884988 ; NEW SCC = 05060190565531 *available Summer 2023*</t>
    </r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</si>
  <si>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33528 . Change from 500ml  to 473ml selling unit format </t>
    </r>
    <r>
      <rPr>
        <sz val="11"/>
        <color rgb="FF000000"/>
        <rFont val="Arial"/>
        <family val="2"/>
      </rPr>
      <t xml:space="preserve">supplying source will remain 0001 - LCBO </t>
    </r>
    <r>
      <rPr>
        <b/>
        <sz val="11"/>
        <color rgb="FF000000"/>
        <rFont val="Arial"/>
        <family val="2"/>
      </rPr>
      <t>New UPC = 196852247356 ; NEW SCC = 05060190565562 *available Summer 2023*</t>
    </r>
  </si>
  <si>
    <t>Calabogie Brewing Island Watermelon Gose</t>
  </si>
  <si>
    <r>
      <t xml:space="preserve">Supplying source changing from 001 - LCBO to </t>
    </r>
    <r>
      <rPr>
        <b/>
        <sz val="11"/>
        <color rgb="FF000000"/>
        <rFont val="Arial"/>
        <family val="2"/>
      </rPr>
      <t>1281 - CALABOGIE BREWING CO. LTD.</t>
    </r>
  </si>
  <si>
    <t>Toboggan Brewing Jacque Strappe Lager 4-Pack</t>
  </si>
  <si>
    <t>Burnt River Saw Cut Pilsner 4-Pack</t>
  </si>
  <si>
    <t>Michelob Ultra Organic Gold+</t>
  </si>
  <si>
    <r>
      <rPr>
        <strike/>
        <sz val="11"/>
        <color theme="1"/>
        <rFont val="Arial"/>
        <family val="2"/>
      </rPr>
      <t xml:space="preserve">Discontinued by Supplier </t>
    </r>
    <r>
      <rPr>
        <b/>
        <sz val="11"/>
        <color theme="1"/>
        <rFont val="Arial"/>
        <family val="2"/>
      </rPr>
      <t>**CANCELLED - LCBO# 496968 remains available**</t>
    </r>
  </si>
  <si>
    <t>Kew Vineyards Marsanne VQA</t>
  </si>
  <si>
    <t>Kew Vineyards Soldier's Grant VQA</t>
  </si>
  <si>
    <t>Producer Size changing from Small to Large; Not eligible for Wine Boutiques</t>
  </si>
  <si>
    <t>Angels Gate Chardonnay Vqa</t>
  </si>
  <si>
    <t>Angels Gate Gewurztraminer Vqa</t>
  </si>
  <si>
    <t>Angels Gate Gamay Noir Vqa</t>
  </si>
  <si>
    <t>Angels Gate Riesling Vqa</t>
  </si>
  <si>
    <t>14 Angels Gate Archangel Chardonnay Brut</t>
  </si>
  <si>
    <t>Angels Gate Pinot Noir Vqa</t>
  </si>
  <si>
    <t>Angels Gate Pinot Gris Vqa</t>
  </si>
  <si>
    <t>Angels Gate Cabernet Merlot Vqa</t>
  </si>
  <si>
    <t>Angels Gate Sussreserve Riesling Vqa</t>
  </si>
  <si>
    <t>402492005103</t>
  </si>
  <si>
    <t>402492006025</t>
  </si>
  <si>
    <t>402492005059</t>
  </si>
  <si>
    <t>402492010039</t>
  </si>
  <si>
    <t>402492008395</t>
  </si>
  <si>
    <t>402492008067</t>
  </si>
  <si>
    <t>402492011463</t>
  </si>
  <si>
    <t>402492004076</t>
  </si>
  <si>
    <t>402492004014</t>
  </si>
  <si>
    <t>Mill St Ultimate Patio Pack</t>
  </si>
  <si>
    <r>
      <t xml:space="preserve">UPC Code updating: OLD UPC = 062067409103; </t>
    </r>
    <r>
      <rPr>
        <b/>
        <sz val="11"/>
        <color rgb="FF000000"/>
        <rFont val="Arial"/>
        <family val="2"/>
      </rPr>
      <t xml:space="preserve">NEW UPC = 062067410109 </t>
    </r>
    <r>
      <rPr>
        <sz val="11"/>
        <color theme="1"/>
        <rFont val="Arial"/>
        <family val="2"/>
      </rPr>
      <t xml:space="preserve"> (no SCC change)</t>
    </r>
  </si>
  <si>
    <r>
      <t xml:space="preserve">UPC &amp; SCC Code updating: OLD UPC = 627843736400; </t>
    </r>
    <r>
      <rPr>
        <b/>
        <sz val="11"/>
        <color rgb="FF000000"/>
        <rFont val="Arial"/>
        <family val="2"/>
      </rPr>
      <t xml:space="preserve">NEW UPC = 856217000506 </t>
    </r>
    <r>
      <rPr>
        <sz val="11"/>
        <color rgb="FF000000"/>
        <rFont val="Arial"/>
        <family val="2"/>
      </rPr>
      <t xml:space="preserve"> | OLD SCC = 10627843736414;  </t>
    </r>
    <r>
      <rPr>
        <b/>
        <sz val="11"/>
        <color rgb="FF000000"/>
        <rFont val="Arial"/>
        <family val="2"/>
      </rPr>
      <t xml:space="preserve">NEW SCC = 10856217000503 </t>
    </r>
  </si>
  <si>
    <t>Bellwoods Jelly King Pink Guava</t>
  </si>
  <si>
    <t>Bellwoods Acid House Sour Ipa</t>
  </si>
  <si>
    <t>Flying Monkeys Fireworks &amp; Karate Ipa</t>
  </si>
  <si>
    <t>Somersby Wild Garden Crushed Apple</t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</si>
  <si>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32735 . Change from 500ml  to 4x355ml selling unit format </t>
    </r>
    <r>
      <rPr>
        <sz val="11"/>
        <color rgb="FF000000"/>
        <rFont val="Arial"/>
        <family val="2"/>
      </rPr>
      <t xml:space="preserve">supplying source will remain 0001 - LCBO </t>
    </r>
    <r>
      <rPr>
        <b/>
        <sz val="11"/>
        <color rgb="FF000000"/>
        <rFont val="Arial"/>
        <family val="2"/>
      </rPr>
      <t>New UPC = 675325122210 ; NEW SCC = 06753251222274 *available Summer 2023*</t>
    </r>
  </si>
  <si>
    <t>Flying Monkeys Worlds Away Modern Lager</t>
  </si>
  <si>
    <t>Bongo - Tequilima Cerveza Radler</t>
  </si>
  <si>
    <t>Cameron's Jungle Of Love Tropical Fruit Sour</t>
  </si>
  <si>
    <t>Collective Arts Daily Forecast Mimosa Mix</t>
  </si>
  <si>
    <t>Sawdust City - Ah Stout</t>
  </si>
  <si>
    <t>Refined Fool Peanut Butter Chocolate Stout</t>
  </si>
  <si>
    <t>The Publican's House Yuzu Sour</t>
  </si>
  <si>
    <t>Manitoulin Adventure Kit</t>
  </si>
  <si>
    <t>Small Pony Barrel Works Disassemble+Reassemble Pea</t>
  </si>
  <si>
    <t>Big Rig Busted Sled Gingerbread Stout</t>
  </si>
  <si>
    <t>Caledon Hills 1882 Oktoberfest.</t>
  </si>
  <si>
    <t>White Mocha Coffee Chocolate Nitro Stout</t>
  </si>
  <si>
    <t>404 mL</t>
  </si>
  <si>
    <t>Exchange Brewery Farmhouse Ale</t>
  </si>
  <si>
    <t>Carlsberg Lite Tall Can +</t>
  </si>
  <si>
    <t>Left Hand Milk Stout Nitro</t>
  </si>
  <si>
    <t>Jelly King- Pineapple Tangerine Grapefruit</t>
  </si>
  <si>
    <r>
      <t xml:space="preserve">UPC Code Updated: OLD UPC = 019962911743; </t>
    </r>
    <r>
      <rPr>
        <b/>
        <sz val="11"/>
        <color theme="1"/>
        <rFont val="Arial"/>
        <family val="2"/>
      </rPr>
      <t xml:space="preserve">NEW UPC = 644216910670 </t>
    </r>
    <r>
      <rPr>
        <sz val="11"/>
        <color theme="1"/>
        <rFont val="Arial"/>
        <family val="2"/>
      </rPr>
      <t>(no SCC change)</t>
    </r>
  </si>
  <si>
    <t>Pete's Pure Cabernet Sauvignon</t>
  </si>
  <si>
    <t>Wyndham Estate Bin 222 Chardonnay</t>
  </si>
  <si>
    <t>Carnivor Shiraz</t>
  </si>
  <si>
    <t>0085000028391</t>
  </si>
  <si>
    <t>080432124079</t>
  </si>
  <si>
    <t>Mindful Pinot Grigio VQA</t>
  </si>
  <si>
    <t xml:space="preserve">627167100833 </t>
  </si>
  <si>
    <t>Wayne Gretzky Estate Pinot Grigio VQA BIB</t>
  </si>
  <si>
    <t xml:space="preserve">Wayne Gretzky Estate Pinot Grigio VQA </t>
  </si>
  <si>
    <t>Discontinued by Supplier (temporarily) - to be replaced with 33461 Wayne Gretzky Signature White VQA (ETA August 2023)</t>
  </si>
  <si>
    <t>Discontinued by Supplier (temporarily)- to be replaced with 33523 Wayne Gretzky Signature White VQA 3L (ETA July 2023)</t>
  </si>
  <si>
    <t>Discontinued by Supplier (temporarily)- to be replaced with 32794 Mindful Pinot Griogio Vidal VQA (ETA June 2023)</t>
  </si>
  <si>
    <t>Discontinued by Supplier (temporarily)- to be replaced with 33452 Our Story Charming White VQA (ETA June 2023)</t>
  </si>
  <si>
    <t xml:space="preserve">627167099533 </t>
  </si>
  <si>
    <t xml:space="preserve">874537000402 </t>
  </si>
  <si>
    <t>Fresh Beginnings Moscato VQA</t>
  </si>
  <si>
    <t>Discontinued by Supplier (temporarily) - to be replaced with 33445 Fresh Moscato Vidal VQA (ETA July 2023)</t>
  </si>
  <si>
    <t>Folly Rice Lager</t>
  </si>
  <si>
    <t>Collective Arts Mosaic Four Ways  Ipa 23</t>
  </si>
  <si>
    <t>Collective Arts Hey Nelson</t>
  </si>
  <si>
    <t>186360051927</t>
  </si>
  <si>
    <t>186360051392</t>
  </si>
  <si>
    <t>186360052085</t>
  </si>
  <si>
    <t>Smoking Loon Chardonnay</t>
  </si>
  <si>
    <t>017444000763</t>
  </si>
  <si>
    <t>Cupcake Red Velvet</t>
  </si>
  <si>
    <t>081308001258</t>
  </si>
  <si>
    <t>Coteaux Bourguignons Rouge</t>
  </si>
  <si>
    <t>Georges Duboeuf Beaujolais</t>
  </si>
  <si>
    <t>Hob Nob Chardonnay Pays D'Oc</t>
  </si>
  <si>
    <t>Rye River Brewer's Choice Variety Pack</t>
  </si>
  <si>
    <t>Collective Arts Life In The Clouds 4-Pack</t>
  </si>
  <si>
    <t>Collective Arts Jam Up Th E Mash 4-Pack</t>
  </si>
  <si>
    <t>Collective Arts Ransack The Universe 4-Pack</t>
  </si>
  <si>
    <t>Collective Arts Daily Forecast</t>
  </si>
  <si>
    <t>Collective Arts Beyond Reason</t>
  </si>
  <si>
    <t>Collective Arts Lager 6-Pack</t>
  </si>
  <si>
    <t>Collective Arts Stranger Than Fiction Porter</t>
  </si>
  <si>
    <r>
      <t xml:space="preserve">Supplying source changing from 4678 - COLLECTIVE ARTS BREWING LTD to </t>
    </r>
    <r>
      <rPr>
        <b/>
        <sz val="11"/>
        <color rgb="FF000000"/>
        <rFont val="Arial"/>
        <family val="2"/>
      </rPr>
      <t>001 - LCBO</t>
    </r>
  </si>
  <si>
    <t>Cowbell Brewing Co. Summer Mixer</t>
  </si>
  <si>
    <t>2769 mL</t>
  </si>
  <si>
    <r>
      <t xml:space="preserve">UPC Code Updated: OLD UPC = 628028020987; </t>
    </r>
    <r>
      <rPr>
        <b/>
        <sz val="11"/>
        <color theme="1"/>
        <rFont val="Arial"/>
        <family val="2"/>
      </rPr>
      <t xml:space="preserve">NEW UPC = 628028020994 </t>
    </r>
    <r>
      <rPr>
        <sz val="11"/>
        <color theme="1"/>
        <rFont val="Arial"/>
        <family val="2"/>
      </rPr>
      <t>(no SCC change)</t>
    </r>
  </si>
  <si>
    <r>
      <rPr>
        <b/>
        <sz val="11"/>
        <color theme="1"/>
        <rFont val="Arial"/>
        <family val="2"/>
      </rPr>
      <t>**CORRECTION**</t>
    </r>
    <r>
      <rPr>
        <sz val="11"/>
        <color theme="1"/>
        <rFont val="Arial"/>
        <family val="2"/>
      </rPr>
      <t xml:space="preserve"> UPC Code updating: OLD UPC = 062067410109; </t>
    </r>
    <r>
      <rPr>
        <b/>
        <sz val="11"/>
        <color rgb="FF000000"/>
        <rFont val="Arial"/>
        <family val="2"/>
      </rPr>
      <t xml:space="preserve">NEW UPC = 062067409103 </t>
    </r>
    <r>
      <rPr>
        <sz val="11"/>
        <color theme="1"/>
        <rFont val="Arial"/>
        <family val="2"/>
      </rPr>
      <t xml:space="preserve"> (no SCC change)</t>
    </r>
  </si>
  <si>
    <t>Beau's Nordic Pale Ale</t>
  </si>
  <si>
    <t>Carlsberg Beer +</t>
  </si>
  <si>
    <t>Radical Road Midnight Blackberry Sour</t>
  </si>
  <si>
    <t>Okocim Mocne</t>
  </si>
  <si>
    <t>Okocim Pilsner</t>
  </si>
  <si>
    <t>Neighbour's Pool Peach Mango Smoothie Ipa</t>
  </si>
  <si>
    <t>Magnotta Brewery 3 Threads Porter</t>
  </si>
  <si>
    <t>Grand River Tailgate Lager</t>
  </si>
  <si>
    <t>Exchange Brewery Hazy Session Ipa</t>
  </si>
  <si>
    <t>Railway City Winter Give'R Pack</t>
  </si>
  <si>
    <t>Railway City Brewing Express India Session</t>
  </si>
  <si>
    <r>
      <t xml:space="preserve">Product Description Change: Grand River Tailgate Lager to </t>
    </r>
    <r>
      <rPr>
        <b/>
        <sz val="11"/>
        <color theme="1"/>
        <rFont val="Arial"/>
        <family val="2"/>
      </rPr>
      <t xml:space="preserve">Grand River Brewing </t>
    </r>
    <r>
      <rPr>
        <b/>
        <sz val="11"/>
        <color theme="1"/>
        <rFont val="Calibri"/>
        <family val="2"/>
        <scheme val="minor"/>
      </rPr>
      <t xml:space="preserve">GRB </t>
    </r>
    <r>
      <rPr>
        <b/>
        <sz val="11"/>
        <color theme="1"/>
        <rFont val="Arial"/>
        <family val="2"/>
      </rPr>
      <t>Lager</t>
    </r>
  </si>
  <si>
    <t>Railway City - Black Coal Stout</t>
  </si>
  <si>
    <t>Clear Lake Session Ale</t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</si>
  <si>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33108 . Change from 4x500ml  to 4x473ml selling unit format. </t>
    </r>
    <r>
      <rPr>
        <sz val="11"/>
        <color rgb="FF000000"/>
        <rFont val="Arial"/>
        <family val="2"/>
      </rPr>
      <t xml:space="preserve">Supplying source will change from  0001 - LCBO to </t>
    </r>
    <r>
      <rPr>
        <b/>
        <sz val="11"/>
        <color rgb="FF000000"/>
        <rFont val="Arial"/>
        <family val="2"/>
      </rPr>
      <t>002 - TBS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New UPC = 675325922155 ; NEW SCC = 06753259221620 *available July 2023*</t>
    </r>
  </si>
  <si>
    <t>Nickel Brook Jamstand Raspberry</t>
  </si>
  <si>
    <t>Wallaroo Trail Shiraz</t>
  </si>
  <si>
    <t>063657040799</t>
  </si>
  <si>
    <t>Joliesse Chardonnay</t>
  </si>
  <si>
    <t>Angels Gate Pinot Gris VQA</t>
  </si>
  <si>
    <t>Lakefront New Grist Gluten Free  - 1892 Ml</t>
  </si>
  <si>
    <r>
      <t xml:space="preserve">UPC Code updating: OLD UPC = 746546048167; </t>
    </r>
    <r>
      <rPr>
        <b/>
        <sz val="11"/>
        <color rgb="FF000000"/>
        <rFont val="Arial"/>
        <family val="2"/>
      </rPr>
      <t xml:space="preserve">NEW UPC = 746546416065 </t>
    </r>
    <r>
      <rPr>
        <sz val="11"/>
        <color theme="1"/>
        <rFont val="Arial"/>
        <family val="2"/>
      </rPr>
      <t xml:space="preserve"> (no SCC change)</t>
    </r>
  </si>
  <si>
    <t>Wayne Gretzky Estate Pinot Grigio VQA Bib</t>
  </si>
  <si>
    <t>Collective Arts Trail Loop Honey Lager</t>
  </si>
  <si>
    <t>Left Field Brewery Bang Bang Dry Hopped Sour</t>
  </si>
  <si>
    <t>Left Field Brewery - Squeeze Play Peach</t>
  </si>
  <si>
    <t>Left Field Brewery Cranberry Orange Squeeze Play</t>
  </si>
  <si>
    <t>Left Field Brewery Ice Cold Fan Pack</t>
  </si>
  <si>
    <t>Crank Lite Lager</t>
  </si>
  <si>
    <t>Angels Gate Chardonnay VQA</t>
  </si>
  <si>
    <t>Persona Cabernet Merlot VQA</t>
  </si>
  <si>
    <t>Jon Josh Pinot Blanc Aop Pannon</t>
  </si>
  <si>
    <t>Latour Pinot Noir</t>
  </si>
  <si>
    <t>Philippe De Rothschild Merlot Vdp</t>
  </si>
  <si>
    <t>Wanderlust Adventurous White</t>
  </si>
  <si>
    <t>Il Prosecco</t>
  </si>
  <si>
    <t>Sangre De Toro Tempranillo</t>
  </si>
  <si>
    <t>Grand River Midnight On The Grand</t>
  </si>
  <si>
    <t>Burnt Ship Bay Sauvignon Blanc VQA</t>
  </si>
  <si>
    <t>Bud Light Apple Labatt 473ml</t>
  </si>
  <si>
    <t>Tuborg Gold Beer+</t>
  </si>
  <si>
    <t>Shillow Vienna Lager</t>
  </si>
  <si>
    <t>Peninsula Ridge Falcon's Nest Pinot Noir VQA</t>
  </si>
  <si>
    <t>Bench Brewing Jordan Harbour Belgian Pale Ale</t>
  </si>
  <si>
    <t>Bench Brewing Mountainview Stout</t>
  </si>
  <si>
    <t>Bench Brewing Stone Road White Ale</t>
  </si>
  <si>
    <t>Bench Brewing Hopster Ipa</t>
  </si>
  <si>
    <t>Sierra Nevada Ale</t>
  </si>
  <si>
    <t>No Boats On Sunday Cranberry Rose Cider</t>
  </si>
  <si>
    <t>Long Weekend Rose VQA</t>
  </si>
  <si>
    <t>Keep Calm &amp; Love Pinot Grigio Rose</t>
  </si>
  <si>
    <t>0057496014134</t>
  </si>
  <si>
    <t>Krombacher Pils 6 Pk-B+</t>
  </si>
  <si>
    <t>Bobcaygeon Brewing Company Holiday Tacklebox 2.0</t>
  </si>
  <si>
    <t>Sleeping Giant Brewing Co. Holiday Mix Pack</t>
  </si>
  <si>
    <t>Bobcaygeon Firefly Belgian White</t>
  </si>
  <si>
    <t>Waterloo Raspberry Radler</t>
  </si>
  <si>
    <t>Jackson-Triggs Reserve Pinot Grigio VQA</t>
  </si>
  <si>
    <t>063657036860</t>
  </si>
  <si>
    <t>Sterling Vintner's Chardonnay</t>
  </si>
  <si>
    <t>Big Rock Grasshopper Wheat Ale 6-Pk B+</t>
  </si>
  <si>
    <t>Big Rock Traditional Ale+</t>
  </si>
  <si>
    <t>Big Rock Citradelic Single Hop Ipa +</t>
  </si>
  <si>
    <t>Big Rock Warthog +</t>
  </si>
  <si>
    <t>Waterloo Grapefruit Radler 473ml</t>
  </si>
  <si>
    <t>Waterloo Tart Cherry Radler+</t>
  </si>
  <si>
    <t>Waterloo Dark</t>
  </si>
  <si>
    <t>Laker Lager</t>
  </si>
  <si>
    <t>Laker  Ice</t>
  </si>
  <si>
    <t>Waterloo Craft Lager</t>
  </si>
  <si>
    <r>
      <t xml:space="preserve">Producer Size changing from Small to </t>
    </r>
    <r>
      <rPr>
        <b/>
        <sz val="11"/>
        <color theme="1"/>
        <rFont val="Arial"/>
        <family val="2"/>
      </rPr>
      <t>Large</t>
    </r>
    <r>
      <rPr>
        <sz val="11"/>
        <color theme="1"/>
        <rFont val="Arial"/>
        <family val="2"/>
      </rPr>
      <t xml:space="preserve"> </t>
    </r>
  </si>
  <si>
    <t>Waterloo Premium Amber 473ml</t>
  </si>
  <si>
    <t>Waterloo Ipa.</t>
  </si>
  <si>
    <t>Laker Red</t>
  </si>
  <si>
    <t>Landshark Lager 6-Pk Can  +</t>
  </si>
  <si>
    <t>Landshark Lager 6-Pk B+</t>
  </si>
  <si>
    <t>Waterloo Black Currant Pomegranate Saison</t>
  </si>
  <si>
    <t>Waterloo Salted Caramel Porter</t>
  </si>
  <si>
    <t>Chill Street Afternoon Delight Cider</t>
  </si>
  <si>
    <t>Seagram White Peach Cider</t>
  </si>
  <si>
    <t>Thornbury Craft X Tragically Hip Road Apples Cider</t>
  </si>
  <si>
    <t>West Avenue Cider Gem</t>
  </si>
  <si>
    <t>Ironwood Yuja Cider</t>
  </si>
  <si>
    <t>Lonetree Ginger Cider</t>
  </si>
  <si>
    <t>Busl - Rubus - Hibiscus &amp; Raspberry Cider</t>
  </si>
  <si>
    <t>Chill Street Night Moves Cider</t>
  </si>
  <si>
    <r>
      <t xml:space="preserve">SCC Code Updated: OLD SCC = 08002062022008; </t>
    </r>
    <r>
      <rPr>
        <b/>
        <sz val="11"/>
        <color theme="1"/>
        <rFont val="Arial"/>
        <family val="2"/>
      </rPr>
      <t>NEW SCC = 08002062023654</t>
    </r>
    <r>
      <rPr>
        <sz val="11"/>
        <color theme="1"/>
        <rFont val="Arial"/>
        <family val="2"/>
      </rPr>
      <t xml:space="preserve"> (no UPC change)</t>
    </r>
  </si>
  <si>
    <t>Fresco Di Masi Rosso</t>
  </si>
  <si>
    <r>
      <t xml:space="preserve">SCC Code Updated: OLD SCC = 08002062011286; </t>
    </r>
    <r>
      <rPr>
        <b/>
        <sz val="11"/>
        <color theme="1"/>
        <rFont val="Arial"/>
        <family val="2"/>
      </rPr>
      <t>NEW SCC = 08002062022947</t>
    </r>
    <r>
      <rPr>
        <sz val="11"/>
        <color theme="1"/>
        <rFont val="Arial"/>
        <family val="2"/>
      </rPr>
      <t xml:space="preserve"> (no UPC change)</t>
    </r>
  </si>
  <si>
    <r>
      <t xml:space="preserve">SCC Code Updated: OLD SCC = 08002062021841; </t>
    </r>
    <r>
      <rPr>
        <b/>
        <sz val="11"/>
        <color theme="1"/>
        <rFont val="Arial"/>
        <family val="2"/>
      </rPr>
      <t xml:space="preserve">NEW SCC = 08002062023906 </t>
    </r>
    <r>
      <rPr>
        <sz val="11"/>
        <color theme="1"/>
        <rFont val="Arial"/>
        <family val="2"/>
      </rPr>
      <t>(no UPC change)</t>
    </r>
  </si>
  <si>
    <t>Frisky Beaver Red VQA</t>
  </si>
  <si>
    <t>Labatt Blue Light 6x355ml</t>
  </si>
  <si>
    <r>
      <t xml:space="preserve">Supplying source changing from </t>
    </r>
    <r>
      <rPr>
        <sz val="11"/>
        <color rgb="FF000000"/>
        <rFont val="Arial"/>
        <family val="2"/>
      </rPr>
      <t xml:space="preserve">001 - LCBO to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2840 - TWO BLOKES CIDER</t>
    </r>
  </si>
  <si>
    <t>Creekside Pinot Grigio</t>
  </si>
  <si>
    <t>Avalon Pinot Noir</t>
  </si>
  <si>
    <t>The Wolftrap Syrah Mourvedre Viognier</t>
  </si>
  <si>
    <t>Wellington Brewery Boot Lite Lager</t>
  </si>
  <si>
    <t>Wellington Brewery Cry If I Want To Sour Ipa</t>
  </si>
  <si>
    <t>Wellington Brewery Sunshine Blonde Ale</t>
  </si>
  <si>
    <t>Wellington Brewery Fine Italian-Style Pilsner</t>
  </si>
  <si>
    <r>
      <t xml:space="preserve">Product Description Change: Thornbury Village Pick Up No.26 Pilsner to </t>
    </r>
    <r>
      <rPr>
        <b/>
        <sz val="11"/>
        <color theme="1"/>
        <rFont val="Arial"/>
        <family val="2"/>
      </rPr>
      <t>Thornbury King Pilsner</t>
    </r>
    <r>
      <rPr>
        <sz val="11"/>
        <color theme="1"/>
        <rFont val="Arial"/>
        <family val="2"/>
      </rPr>
      <t xml:space="preserve"> , no UPC/SCC changes</t>
    </r>
  </si>
  <si>
    <t>Masi Costasera Amarone Classico Doc</t>
  </si>
  <si>
    <t>8002062000051</t>
  </si>
  <si>
    <r>
      <t xml:space="preserve">SCC Code Updated: OLD SCC = 08002062021919; </t>
    </r>
    <r>
      <rPr>
        <b/>
        <sz val="11"/>
        <color theme="1"/>
        <rFont val="Arial"/>
        <family val="2"/>
      </rPr>
      <t xml:space="preserve">NEW SCC = 08002062023227 </t>
    </r>
    <r>
      <rPr>
        <sz val="11"/>
        <color theme="1"/>
        <rFont val="Arial"/>
        <family val="2"/>
      </rPr>
      <t>(no UPC change)</t>
    </r>
  </si>
  <si>
    <t>Shiny Apple Cider Rose</t>
  </si>
  <si>
    <t>Lezajsk Beer 500ml B</t>
  </si>
  <si>
    <t>Long Shot Pinot Noir</t>
  </si>
  <si>
    <t>0085000029077</t>
  </si>
  <si>
    <t>Wells Banana Bread</t>
  </si>
  <si>
    <t>Stockyards Brewing Ipa Mixer Pack</t>
  </si>
  <si>
    <t>Pei Brewing Company Beach Chair Lager +</t>
  </si>
  <si>
    <t>Hobgoblin Ruby Ale</t>
  </si>
  <si>
    <t>Faxe Premium Lager +</t>
  </si>
  <si>
    <t>Faxe Amber Lager+</t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</si>
  <si>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37099 . Change from 500ml  to 473ml selling unit format. </t>
    </r>
    <r>
      <rPr>
        <sz val="11"/>
        <color rgb="FF000000"/>
        <rFont val="Arial"/>
        <family val="2"/>
      </rPr>
      <t xml:space="preserve">Supplying source will remain 001 - LCBO. NEW </t>
    </r>
    <r>
      <rPr>
        <b/>
        <sz val="11"/>
        <color rgb="FF000000"/>
        <rFont val="Arial"/>
        <family val="2"/>
      </rPr>
      <t>UPC = 5741000460023 ; NEW SCC = 15741000460020 *available Winter 2023*</t>
    </r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</si>
  <si>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37102 . Change from 500ml  to 473ml selling unit format. </t>
    </r>
    <r>
      <rPr>
        <sz val="11"/>
        <color rgb="FF000000"/>
        <rFont val="Arial"/>
        <family val="2"/>
      </rPr>
      <t xml:space="preserve">Supplying source will remain 001 - LCBO. NEW </t>
    </r>
    <r>
      <rPr>
        <b/>
        <sz val="11"/>
        <color rgb="FF000000"/>
        <rFont val="Arial"/>
        <family val="2"/>
      </rPr>
      <t>UPC = 5741000500057 ; NEW SCC = 15741000500054 *available Winter 2023*</t>
    </r>
  </si>
  <si>
    <t>Pabst Blue Ribbon 5.9% (W)</t>
  </si>
  <si>
    <t>Pump House Crafty Radler Blood Orange Peach</t>
  </si>
  <si>
    <t>Red Falcon Ale 473ml</t>
  </si>
  <si>
    <t>Lagger Falcon Craft Lager 473ml</t>
  </si>
  <si>
    <t>Two Oceans Sauvignon Blanc</t>
  </si>
  <si>
    <t xml:space="preserve">Two Oceans Cabernet Sauvignon/Merlot </t>
  </si>
  <si>
    <t>Two Oceans Pinot Grigio</t>
  </si>
  <si>
    <t xml:space="preserve">Santa Rita 120 Reserva Especial Cab Sauv </t>
  </si>
  <si>
    <t xml:space="preserve">Oggi Sangiovese Igt Puglia </t>
  </si>
  <si>
    <r>
      <t xml:space="preserve">SCC Code Updated: OLD SCC = 08002062021940; </t>
    </r>
    <r>
      <rPr>
        <b/>
        <sz val="11"/>
        <color theme="1"/>
        <rFont val="Arial"/>
        <family val="2"/>
      </rPr>
      <t xml:space="preserve">NEW SCC = 08002062023869 </t>
    </r>
    <r>
      <rPr>
        <sz val="11"/>
        <color theme="1"/>
        <rFont val="Arial"/>
        <family val="2"/>
      </rPr>
      <t>(no UPC change)</t>
    </r>
  </si>
  <si>
    <t>Beringer Main &amp; Vine Rose</t>
  </si>
  <si>
    <t>089819715411</t>
  </si>
  <si>
    <r>
      <t xml:space="preserve">SCC Code Updated: OLD SCC = 3185370474181; </t>
    </r>
    <r>
      <rPr>
        <b/>
        <sz val="11"/>
        <color theme="1"/>
        <rFont val="Arial"/>
        <family val="2"/>
      </rPr>
      <t xml:space="preserve">NEW SCC = 3185370407479 </t>
    </r>
    <r>
      <rPr>
        <sz val="11"/>
        <color theme="1"/>
        <rFont val="Arial"/>
        <family val="2"/>
      </rPr>
      <t>(no UPC change)</t>
    </r>
  </si>
  <si>
    <t>Bunkie Blonde Ale</t>
  </si>
  <si>
    <t>Capt25 Incipient Ipa</t>
  </si>
  <si>
    <t>Refined Fool Party Sharks Foggy Ipa</t>
  </si>
  <si>
    <t>Bellwoods Astout With Coffee</t>
  </si>
  <si>
    <r>
      <t xml:space="preserve">Supplying source changing from </t>
    </r>
    <r>
      <rPr>
        <sz val="11"/>
        <color rgb="FF000000"/>
        <rFont val="Arial"/>
        <family val="2"/>
      </rPr>
      <t xml:space="preserve">3893 - CAPT25 CRAFT BEER to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002 - TBS</t>
    </r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</si>
  <si>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36809. No change to selling unit </t>
    </r>
    <r>
      <rPr>
        <b/>
        <strike/>
        <sz val="11"/>
        <color rgb="FF000000"/>
        <rFont val="Arial"/>
        <family val="2"/>
      </rPr>
      <t xml:space="preserve">format </t>
    </r>
    <r>
      <rPr>
        <b/>
        <sz val="11"/>
        <color rgb="FF000000"/>
        <rFont val="Arial"/>
        <family val="2"/>
      </rPr>
      <t xml:space="preserve">volume. Packaging changing from hi-cone to shrink wrap  </t>
    </r>
    <r>
      <rPr>
        <sz val="11"/>
        <color rgb="FF000000"/>
        <rFont val="Arial"/>
        <family val="2"/>
      </rPr>
      <t xml:space="preserve">Supplying source will change from  001 - LCBO to </t>
    </r>
    <r>
      <rPr>
        <b/>
        <sz val="11"/>
        <color rgb="FF000000"/>
        <rFont val="Arial"/>
        <family val="2"/>
      </rPr>
      <t>002 - TBS</t>
    </r>
    <r>
      <rPr>
        <sz val="11"/>
        <color rgb="FF000000"/>
        <rFont val="Arial"/>
        <family val="2"/>
      </rPr>
      <t xml:space="preserve"> NEW </t>
    </r>
    <r>
      <rPr>
        <b/>
        <sz val="11"/>
        <color rgb="FF000000"/>
        <rFont val="Arial"/>
        <family val="2"/>
      </rPr>
      <t xml:space="preserve">UPC = 056910414734 ; NEW SCC = 20056910414738 *available </t>
    </r>
    <r>
      <rPr>
        <b/>
        <strike/>
        <sz val="11"/>
        <color rgb="FF000000"/>
        <rFont val="Arial"/>
        <family val="2"/>
      </rPr>
      <t>Winter</t>
    </r>
    <r>
      <rPr>
        <b/>
        <sz val="11"/>
        <color rgb="FF000000"/>
        <rFont val="Arial"/>
        <family val="2"/>
      </rPr>
      <t xml:space="preserve"> FALL 2023*</t>
    </r>
  </si>
  <si>
    <t>Holsten Premium Pilsner+</t>
  </si>
  <si>
    <t>Longslice Brewery Metropolitan Pilsner</t>
  </si>
  <si>
    <t>Railway City Brewing Co Iron Spike Copper Ale</t>
  </si>
  <si>
    <t>Holsten Festbock+</t>
  </si>
  <si>
    <t>Steam Whistle Retro Wall-Mounted Opener Gift Pack</t>
  </si>
  <si>
    <t>Innis &amp; Gunn Gift Pack</t>
  </si>
  <si>
    <r>
      <t xml:space="preserve">UPC Code Updated: OLD UPC = 196852981267; </t>
    </r>
    <r>
      <rPr>
        <b/>
        <sz val="11"/>
        <color theme="1"/>
        <rFont val="Arial"/>
        <family val="2"/>
      </rPr>
      <t xml:space="preserve">NEW UPC = 5060190565371 </t>
    </r>
    <r>
      <rPr>
        <sz val="11"/>
        <color theme="1"/>
        <rFont val="Arial"/>
        <family val="2"/>
      </rPr>
      <t>(no SCC change)</t>
    </r>
  </si>
  <si>
    <t>Town Brewery Microdose Session Ipa</t>
  </si>
  <si>
    <r>
      <t xml:space="preserve">UPC &amp; SCC Code updating: OLD UPC = 836460000027; </t>
    </r>
    <r>
      <rPr>
        <b/>
        <sz val="11"/>
        <color rgb="FF000000"/>
        <rFont val="Arial"/>
        <family val="2"/>
      </rPr>
      <t xml:space="preserve">NEW UPC = 689076790048 </t>
    </r>
    <r>
      <rPr>
        <sz val="11"/>
        <color rgb="FF000000"/>
        <rFont val="Arial"/>
        <family val="2"/>
      </rPr>
      <t xml:space="preserve"> | OLD SCC = 10689076790045;  </t>
    </r>
    <r>
      <rPr>
        <b/>
        <sz val="11"/>
        <color rgb="FF000000"/>
        <rFont val="Arial"/>
        <family val="2"/>
      </rPr>
      <t>NEW SCC = 10836460000024</t>
    </r>
  </si>
  <si>
    <t xml:space="preserve">Wayne Gretzky Pinot Grigio VQA </t>
  </si>
  <si>
    <t>Ix Poets Hazy Mariner Cloudy Ipa</t>
  </si>
  <si>
    <r>
      <t xml:space="preserve">Supplying source changing from </t>
    </r>
    <r>
      <rPr>
        <sz val="11"/>
        <color rgb="FF000000"/>
        <rFont val="Arial"/>
        <family val="2"/>
      </rPr>
      <t xml:space="preserve">001 - LCBO to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3628 - IX POETS BREWING INC.</t>
    </r>
  </si>
  <si>
    <t>Angels Gate Cabernet Merlot VQA</t>
  </si>
  <si>
    <t>Muskoka Pineapple Ninja Wheat Ale</t>
  </si>
  <si>
    <t>Refined Fool Haze Cube - Four Foolishly Hazy Ipas</t>
  </si>
  <si>
    <t>Gnarly Head Old Vine Zinfandel</t>
  </si>
  <si>
    <t>Menage A Trois Cabernet Sauvignon</t>
  </si>
  <si>
    <t>099988071836</t>
  </si>
  <si>
    <t>0822420294933</t>
  </si>
  <si>
    <t>Chateau des Charmes Atelier White Estate Bottled VQA</t>
  </si>
  <si>
    <t>Perth Brewery Holiday 4-Pack</t>
  </si>
  <si>
    <r>
      <t xml:space="preserve">UPC &amp; SCC Code updating: OLD UPC = 3049614003417; </t>
    </r>
    <r>
      <rPr>
        <b/>
        <sz val="11"/>
        <color rgb="FF000000"/>
        <rFont val="Arial"/>
        <family val="2"/>
      </rPr>
      <t xml:space="preserve">NEW UPC = 3049614223389 </t>
    </r>
    <r>
      <rPr>
        <sz val="11"/>
        <color rgb="FF000000"/>
        <rFont val="Arial"/>
        <family val="2"/>
      </rPr>
      <t xml:space="preserve"> | OLD SCC = 03049614183485;  </t>
    </r>
    <r>
      <rPr>
        <b/>
        <sz val="11"/>
        <color rgb="FF000000"/>
        <rFont val="Arial"/>
        <family val="2"/>
      </rPr>
      <t>NEW SCC = 3049614222696</t>
    </r>
  </si>
  <si>
    <t>Veuve Clicquot Ponsardin Rose</t>
  </si>
  <si>
    <t>Lupi Reali Montepulciano D'Abruzzo Doc Organic</t>
  </si>
  <si>
    <r>
      <t xml:space="preserve">UPC Code Updated: OLD UPC = 803289405456; </t>
    </r>
    <r>
      <rPr>
        <b/>
        <sz val="11"/>
        <color theme="1"/>
        <rFont val="Arial"/>
        <family val="2"/>
      </rPr>
      <t xml:space="preserve">NEW UPC = 8032894054564 </t>
    </r>
    <r>
      <rPr>
        <sz val="11"/>
        <color theme="1"/>
        <rFont val="Arial"/>
        <family val="2"/>
      </rPr>
      <t>(no SCC change)</t>
    </r>
  </si>
  <si>
    <t>Muskoka Big World Small Batch - Argentina</t>
  </si>
  <si>
    <t>Muskoka Stein Sized Fest Bier</t>
  </si>
  <si>
    <t>Collective Arts Sicillian Lemon Gose</t>
  </si>
  <si>
    <t>Karbon Brewing One World Wit</t>
  </si>
  <si>
    <t>Outlaw Copper Ale</t>
  </si>
  <si>
    <t>Outlaw Lagered Ale</t>
  </si>
  <si>
    <t>Big Rig Bongo Grape Fruit Radler</t>
  </si>
  <si>
    <t>People's Pint Helles Island American Lager</t>
  </si>
  <si>
    <t>Lost Craft Skyline</t>
  </si>
  <si>
    <t>Mill St. Tropical Sour</t>
  </si>
  <si>
    <t>Creemore Springs Savour Summer Collection</t>
  </si>
  <si>
    <t>Cameron's I Love Craft Beer Mixed Pack</t>
  </si>
  <si>
    <t>St. Mary Axe India Pagan Ale</t>
  </si>
  <si>
    <t>West Avenue Cider Little Mac</t>
  </si>
  <si>
    <t>Kaiserdom Pilsener</t>
  </si>
  <si>
    <t>Mill Street Lemon Tea Time Lemon Wheat Ale</t>
  </si>
  <si>
    <t>Mill St Fruit Market Mix Pack</t>
  </si>
  <si>
    <t>Mill St. Sangria-Style Beer</t>
  </si>
  <si>
    <t>Bellwoods Green Velvet Ipa</t>
  </si>
  <si>
    <t>Magnotta Brewery True North Inukshuk Ipa</t>
  </si>
  <si>
    <t>Magnotta True North Cream Ale</t>
  </si>
  <si>
    <t>Magnotta Double Drooling Dog Black Ipa</t>
  </si>
  <si>
    <t>Farpoint Cabernet Sauvignon Bourbon Barrel Aged</t>
  </si>
  <si>
    <t xml:space="preserve">Chateau des Charmes Vidal Icewine </t>
  </si>
  <si>
    <t>Pelee Island Lola Chardonnay VQA</t>
  </si>
  <si>
    <t>The Collingwood Brewery Kingpost Esb</t>
  </si>
  <si>
    <t>4est Lager</t>
  </si>
  <si>
    <t>5 Paddles Coconut Cream Pie</t>
  </si>
  <si>
    <t>Loyalist Lager</t>
  </si>
  <si>
    <t>Wind &amp; Sail</t>
  </si>
  <si>
    <t>Bell City Eureka Cream Ale</t>
  </si>
  <si>
    <t>Bell City Brewing Lenoir Belgian Ale</t>
  </si>
  <si>
    <t>Bell City Peep Show  Ipa</t>
  </si>
  <si>
    <t>Bell City Too Wound Down Session Ipa</t>
  </si>
  <si>
    <t>Huron St. Hefeweizen</t>
  </si>
  <si>
    <t>Braumeister Brewing Route 21</t>
  </si>
  <si>
    <t>Braumeister Brewing Biergarten Blonde</t>
  </si>
  <si>
    <t>Camaraderie Brewing California Common Ale</t>
  </si>
  <si>
    <t>Coz Laid Back Lager</t>
  </si>
  <si>
    <t>Omnipollo Blueberry Pineapple Marshmallow Bianca</t>
  </si>
  <si>
    <t>Lod Aged Lager</t>
  </si>
  <si>
    <t>Northern Maverick Handcrafted Lager</t>
  </si>
  <si>
    <t>Hops &amp; Robbers Crimes Of Passionfruit Ipa</t>
  </si>
  <si>
    <t>Wave Maker Craft Brewery Lagerbier</t>
  </si>
  <si>
    <t>Yellow Tail Bubbles Rosé</t>
  </si>
  <si>
    <t>Lake Of Bays Rapid Runner Cold Ipa</t>
  </si>
  <si>
    <t>Lake Of Bays Switchback Pilsner</t>
  </si>
  <si>
    <t>Angel Gate Pinot Noir VQA</t>
  </si>
  <si>
    <t>Black Oak Nox Aeterna</t>
  </si>
  <si>
    <t>Black Oak Nut Brown Ale 6 Pk-B</t>
  </si>
  <si>
    <t>Black Oak Pale Ale 6 Pk-B</t>
  </si>
  <si>
    <t>Red Bull Beer</t>
  </si>
  <si>
    <t>Original Local Lager</t>
  </si>
  <si>
    <t>Original Local Lager 355ml</t>
  </si>
  <si>
    <t>Whiprsnapr Atomic Orange</t>
  </si>
  <si>
    <t>Expedition Loch Ness Lager</t>
  </si>
  <si>
    <t>Spinning Yarn Barrel-Aged Blend</t>
  </si>
  <si>
    <t>Brown Van Kolsch Style Ale</t>
  </si>
  <si>
    <t>Homers Premium Lager</t>
  </si>
  <si>
    <t>Hatch Pale Ale</t>
  </si>
  <si>
    <t>Railway City Brewing - Juice Caboose Ipa</t>
  </si>
  <si>
    <t>Railway City - Playa Cerveza</t>
  </si>
  <si>
    <t>Bud Light Mango</t>
  </si>
  <si>
    <t>Michelob Ultra 6 Pk-B</t>
  </si>
  <si>
    <t>Labatt 50</t>
  </si>
  <si>
    <t>Brava 6 Pk-B</t>
  </si>
  <si>
    <t>Cowbell Brewing Co. Creme Brulee Nitro Stout</t>
  </si>
  <si>
    <r>
      <t xml:space="preserve">Supplying source changing from </t>
    </r>
    <r>
      <rPr>
        <sz val="11"/>
        <color rgb="FF000000"/>
        <rFont val="Arial"/>
        <family val="2"/>
      </rPr>
      <t xml:space="preserve">002 - TBS to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0458 - COWBELL BREWING CO.</t>
    </r>
  </si>
  <si>
    <t>Cowbell Brewing Hays Days Ipa Strawberry Rhubarb</t>
  </si>
  <si>
    <t>Wellington Brewery Morning Moon Ipa</t>
  </si>
  <si>
    <t>The Wolftrap White Blend</t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</si>
  <si>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33093. No change to selling unit volume. Selling units per case changing from 12 to 24.  </t>
    </r>
    <r>
      <rPr>
        <sz val="11"/>
        <color rgb="FF000000"/>
        <rFont val="Arial"/>
        <family val="2"/>
      </rPr>
      <t xml:space="preserve">Supplying source will remain </t>
    </r>
    <r>
      <rPr>
        <b/>
        <sz val="11"/>
        <color rgb="FF000000"/>
        <rFont val="Arial"/>
        <family val="2"/>
      </rPr>
      <t>4205 - THE COLLINGWOOD BREWERY</t>
    </r>
    <r>
      <rPr>
        <sz val="11"/>
        <color rgb="FF000000"/>
        <rFont val="Arial"/>
        <family val="2"/>
      </rPr>
      <t xml:space="preserve"> UPC stays the same </t>
    </r>
    <r>
      <rPr>
        <b/>
        <sz val="11"/>
        <color rgb="FF000000"/>
        <rFont val="Arial"/>
        <family val="2"/>
      </rPr>
      <t>UPC = 040232281563 ; NEW SCC = 10666960000169 *available FALL 2023*</t>
    </r>
  </si>
  <si>
    <t>Prince Eddy's Moon Patrol Guava Gose</t>
  </si>
  <si>
    <t>Big Rig  - Bongo Bomb Radler Ipa</t>
  </si>
  <si>
    <t>Amsterdam Summer Entertainer</t>
  </si>
  <si>
    <t>Village Brewery Binge Watch New Zealand Style Pale</t>
  </si>
  <si>
    <t>Woodhouse Citrus Radler</t>
  </si>
  <si>
    <t>Nickel Brook Ipa Mix Pack</t>
  </si>
  <si>
    <t>Straight Up Sour Mango Pineapple</t>
  </si>
  <si>
    <t>Radical Road 4-Track Ipa</t>
  </si>
  <si>
    <t>Radical Road Brewing Cucumber Mint Kolsch</t>
  </si>
  <si>
    <t>Lago Cerveza Mexican Style Lager</t>
  </si>
  <si>
    <t>Brickworks Ciderhouse Pina Colada Cider</t>
  </si>
  <si>
    <t>Adobe Reserva Merlot Organic</t>
  </si>
  <si>
    <t>Wellington - Good Odds Cranberry &amp; Orange Sour</t>
  </si>
  <si>
    <t>Flying Monkeys 12 Minutes To Destiny</t>
  </si>
  <si>
    <t>Flying Monkeys Milkshake Ipa</t>
  </si>
  <si>
    <t>Bellwoods Brewery Pig Ipa</t>
  </si>
  <si>
    <t>Pink Poodle Sparkling Rosé</t>
  </si>
  <si>
    <t>Angels Gate Sussreserve Riesling VQA</t>
  </si>
  <si>
    <t>No Boats On Sunday Pear Cider</t>
  </si>
  <si>
    <t>Mill Street Organic Cobblestone Stout</t>
  </si>
  <si>
    <t>Radical Road Beer Lagered Ale</t>
  </si>
  <si>
    <t>Lowrey Bros. Pear Cider</t>
  </si>
  <si>
    <t>Lowrey Bros. Hard Cider</t>
  </si>
  <si>
    <t xml:space="preserve">Shiny Ginger Apple Lime Cider </t>
  </si>
  <si>
    <t>874537003564</t>
  </si>
  <si>
    <t xml:space="preserve">874537003564  </t>
  </si>
  <si>
    <t>Thornbury Craft Strong Apple Cider</t>
  </si>
  <si>
    <t xml:space="preserve">No Boats on Sunday Wild Strawberry Cider </t>
  </si>
  <si>
    <t>8019873624659</t>
  </si>
  <si>
    <t>Retail price falling below grocery floor price January 1, 2024</t>
  </si>
  <si>
    <t>Luccarelli Puglia Bianco IGP</t>
  </si>
  <si>
    <t>Angel Gate Riesling VQA</t>
  </si>
  <si>
    <t>Refined Fool Fat Baby Continually Hopped Ipa</t>
  </si>
  <si>
    <r>
      <t xml:space="preserve">Supplying source changing from </t>
    </r>
    <r>
      <rPr>
        <sz val="11"/>
        <color rgb="FF000000"/>
        <rFont val="Arial"/>
        <family val="2"/>
      </rPr>
      <t xml:space="preserve">0203 - RADICAL ROAD BREWING COMPANY  to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001 - LCBO</t>
    </r>
    <r>
      <rPr>
        <sz val="11"/>
        <color theme="1"/>
        <rFont val="Arial"/>
        <family val="2"/>
      </rPr>
      <t xml:space="preserve"> </t>
    </r>
  </si>
  <si>
    <t>Brickworks Ciderhouse Mix Pack</t>
  </si>
  <si>
    <t>Radical Road Brewing Yuzu Pale Ale</t>
  </si>
  <si>
    <t>Bench Brewing Oak Pilsner</t>
  </si>
  <si>
    <t>Carnivor Zinfandel</t>
  </si>
  <si>
    <t>085000024973</t>
  </si>
  <si>
    <t>Tuborg Green Beer+</t>
  </si>
  <si>
    <t>Cassel Cranberry Saison</t>
  </si>
  <si>
    <t>Albert Bichot Bourgogne Pinot Noir</t>
  </si>
  <si>
    <r>
      <t xml:space="preserve">UPC &amp; SCC Code updating: OLD UPC = 087113110918; </t>
    </r>
    <r>
      <rPr>
        <b/>
        <sz val="11"/>
        <color rgb="FF000000"/>
        <rFont val="Arial"/>
        <family val="2"/>
      </rPr>
      <t xml:space="preserve">NEW UPC = 0087113111434 </t>
    </r>
    <r>
      <rPr>
        <sz val="11"/>
        <color rgb="FF000000"/>
        <rFont val="Arial"/>
        <family val="2"/>
      </rPr>
      <t xml:space="preserve"> | OLD SCC = 0087113170912;  </t>
    </r>
    <r>
      <rPr>
        <b/>
        <sz val="11"/>
        <color rgb="FF000000"/>
        <rFont val="Arial"/>
        <family val="2"/>
      </rPr>
      <t>NEW SCC = 10087113171435</t>
    </r>
  </si>
  <si>
    <t>Veuve Clicquot Brut Champagne</t>
  </si>
  <si>
    <r>
      <t xml:space="preserve">UPC &amp; SCC Code updating: OLD UPC = 3049610004104; </t>
    </r>
    <r>
      <rPr>
        <b/>
        <sz val="11"/>
        <color rgb="FF000000"/>
        <rFont val="Arial"/>
        <family val="2"/>
      </rPr>
      <t xml:space="preserve">NEW UPC = 3049614222245 </t>
    </r>
    <r>
      <rPr>
        <sz val="11"/>
        <color rgb="FF000000"/>
        <rFont val="Arial"/>
        <family val="2"/>
      </rPr>
      <t xml:space="preserve"> | OLD SCC = 3049614046919;  </t>
    </r>
    <r>
      <rPr>
        <b/>
        <sz val="11"/>
        <color rgb="FF000000"/>
        <rFont val="Arial"/>
        <family val="2"/>
      </rPr>
      <t>NEW SCC = 3049614222597</t>
    </r>
  </si>
  <si>
    <t>Sandbanks Riesling VQA</t>
  </si>
  <si>
    <t>Pearbucha Flavoured Cider</t>
  </si>
  <si>
    <t>Omnipollo Prize Pils</t>
  </si>
  <si>
    <t>Duntroon Cyder House Blackberry Crush Cider</t>
  </si>
  <si>
    <t>Ironwood Ciderita Caribbean Lime</t>
  </si>
  <si>
    <r>
      <t xml:space="preserve">Discontinued by supplier </t>
    </r>
    <r>
      <rPr>
        <b/>
        <sz val="11"/>
        <color theme="1"/>
        <rFont val="Arial"/>
        <family val="2"/>
      </rPr>
      <t xml:space="preserve">(replace with sku item </t>
    </r>
    <r>
      <rPr>
        <b/>
        <sz val="12"/>
        <color theme="1"/>
        <rFont val="Arial"/>
        <family val="2"/>
      </rPr>
      <t>#30836</t>
    </r>
    <r>
      <rPr>
        <b/>
        <sz val="11"/>
        <color theme="1"/>
        <rFont val="Arial"/>
        <family val="2"/>
      </rPr>
      <t xml:space="preserve"> 12x750mL due to case pack change, SCC changed: </t>
    </r>
    <r>
      <rPr>
        <sz val="11"/>
        <color theme="1"/>
        <rFont val="Arial"/>
        <family val="2"/>
      </rPr>
      <t>Old SCC = 20839743000541,</t>
    </r>
    <r>
      <rPr>
        <b/>
        <sz val="11"/>
        <color theme="1"/>
        <rFont val="Arial"/>
        <family val="2"/>
      </rPr>
      <t xml:space="preserve"> NEW SCC = 19322214011206. No change to UPC) </t>
    </r>
  </si>
  <si>
    <t>8.6 India Pale Lager</t>
  </si>
  <si>
    <t>Guinness Blonde American Lager+</t>
  </si>
  <si>
    <t>Guinness Hop House 13+</t>
  </si>
  <si>
    <t xml:space="preserve">Victoria Park Cabernet Sauvignon </t>
  </si>
  <si>
    <t>048162016897</t>
  </si>
  <si>
    <t xml:space="preserve">XOXO Sauvignon Blanc Light </t>
  </si>
  <si>
    <t>Cracked Canoe 6 X 473ml Cans</t>
  </si>
  <si>
    <t>Moosehead Radler Fruit Wedge</t>
  </si>
  <si>
    <t>Alpine Lager</t>
  </si>
  <si>
    <t>Moosehead Lager 6 Pk-B</t>
  </si>
  <si>
    <t xml:space="preserve">Producer Size changing from Small to Large </t>
  </si>
  <si>
    <t>776029704525</t>
  </si>
  <si>
    <t>776029706796</t>
  </si>
  <si>
    <t>776029705966</t>
  </si>
  <si>
    <t>776029703092</t>
  </si>
  <si>
    <t>776029701623</t>
  </si>
  <si>
    <t>776029700268</t>
  </si>
  <si>
    <r>
      <t xml:space="preserve">Discontinued by Supplier </t>
    </r>
    <r>
      <rPr>
        <b/>
        <sz val="11"/>
        <color theme="1"/>
        <rFont val="Arial"/>
        <family val="2"/>
      </rPr>
      <t>*CANCELLED, WILL REMAIN AVAILABLE*</t>
    </r>
  </si>
  <si>
    <t>Cameron's Skeleton Crew Brewing Knucklebone Ipa</t>
  </si>
  <si>
    <t>Cameron's Jurassic Ipa</t>
  </si>
  <si>
    <t>Cameron's Hefeweizen</t>
  </si>
  <si>
    <t>Cameron's Samurai Sour</t>
  </si>
  <si>
    <t>Rush X Henderson Collector Pack Series Two</t>
  </si>
  <si>
    <t>Jelly King With Boysenberry &amp; Plum</t>
  </si>
  <si>
    <t>Bombardier Ale</t>
  </si>
  <si>
    <t>Cameron's Coast To Coast Dry Hopped Lager</t>
  </si>
  <si>
    <t>Beringer Brothers Bourbon Barrel Red Blend</t>
  </si>
  <si>
    <t>089819721634</t>
  </si>
  <si>
    <t>Fresco Di Masi Bianco</t>
  </si>
  <si>
    <t>Melini Chianti Docg</t>
  </si>
  <si>
    <t>Henkell Trocken</t>
  </si>
  <si>
    <t>Future Updates to GMS Product Catalogue</t>
  </si>
  <si>
    <t>Altoona Hills Cabernet/Shiraz Kp M</t>
  </si>
  <si>
    <t>Altoona Hills Dry Chardonnay Kp M</t>
  </si>
  <si>
    <t>Teal Lake Shiraz Kp M</t>
  </si>
  <si>
    <t>Teal Lake Chardonnay Kp M</t>
  </si>
  <si>
    <t>Side Launch Ipa Mixer Pack</t>
  </si>
  <si>
    <t>Milkshake IPA</t>
  </si>
  <si>
    <r>
      <t xml:space="preserve">Product Description Change: Milkshake IPA  to </t>
    </r>
    <r>
      <rPr>
        <b/>
        <sz val="11"/>
        <color theme="1"/>
        <rFont val="Arial"/>
        <family val="2"/>
      </rPr>
      <t>Imperial City Tropical Vibe Juicy Ipa</t>
    </r>
    <r>
      <rPr>
        <sz val="11"/>
        <color theme="1"/>
        <rFont val="Arial"/>
        <family val="2"/>
      </rPr>
      <t>, no UPC/SCC changes</t>
    </r>
  </si>
  <si>
    <t>Robert Mondavi Private Selection Sauvignon Blanc</t>
  </si>
  <si>
    <t>086003361935</t>
  </si>
  <si>
    <t>Sunshine City Blonde</t>
  </si>
  <si>
    <t>Bellwoods Brewery Cat Lady Ipa</t>
  </si>
  <si>
    <t>Lake Of Bays Unmapped Hazy Light Ipa</t>
  </si>
  <si>
    <t>Lake Of Bays Moonstruck Dark Lager</t>
  </si>
  <si>
    <r>
      <t xml:space="preserve">Discontinued by supplier. New SKU will be: </t>
    </r>
    <r>
      <rPr>
        <b/>
        <sz val="11"/>
        <color rgb="FF000000"/>
        <rFont val="Arial"/>
        <family val="2"/>
      </rPr>
      <t xml:space="preserve">37112. No change to selling unit volume. Selling units per case changing from 12 to 24.  </t>
    </r>
    <r>
      <rPr>
        <sz val="11"/>
        <color rgb="FF000000"/>
        <rFont val="Arial"/>
        <family val="2"/>
      </rPr>
      <t xml:space="preserve">Supplying source will remain </t>
    </r>
    <r>
      <rPr>
        <b/>
        <sz val="11"/>
        <color rgb="FF000000"/>
        <rFont val="Arial"/>
        <family val="2"/>
      </rPr>
      <t>4494 - ORILLIA BREWING COMPANY INC.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NEW UPC: 627987816747; NEW SCC: 00627987816716</t>
    </r>
  </si>
  <si>
    <t>Amsterdam Winter Entertainer</t>
  </si>
  <si>
    <t>Amsterdam Brewing Summer Entertainer</t>
  </si>
  <si>
    <t>Cave Spring Riesling Icewine</t>
  </si>
  <si>
    <t>Rocky Point Sour Lime Lager</t>
  </si>
  <si>
    <t>Mill Street Original Organic Lager</t>
  </si>
  <si>
    <t>Puppers Premium Lager</t>
  </si>
  <si>
    <t>Mill Street Hazy Organic Ipa</t>
  </si>
  <si>
    <t>Mill Street Session Ipa</t>
  </si>
  <si>
    <t>Mill Street Blue Wave</t>
  </si>
  <si>
    <t>Mill St. Cold Ipa</t>
  </si>
  <si>
    <t>Mill St. Cobblestone Stout</t>
  </si>
  <si>
    <t>Mill Street Original Organic Lager 6 Pk-B</t>
  </si>
  <si>
    <t>Tankhouse Ale</t>
  </si>
  <si>
    <t>Mill St 100th Meridian Single Can</t>
  </si>
  <si>
    <r>
      <t xml:space="preserve">Supplying source changing from </t>
    </r>
    <r>
      <rPr>
        <sz val="11"/>
        <color rgb="FF000000"/>
        <rFont val="Arial"/>
        <family val="2"/>
      </rPr>
      <t xml:space="preserve">1950 - TRILLIUM BEVERAGE INC.  to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002 - TBS</t>
    </r>
    <r>
      <rPr>
        <sz val="11"/>
        <color theme="1"/>
        <rFont val="Arial"/>
        <family val="2"/>
      </rPr>
      <t xml:space="preserve"> </t>
    </r>
  </si>
  <si>
    <t>Brickworks Ciderhouse Batch 1904 6x473ml</t>
  </si>
  <si>
    <r>
      <t xml:space="preserve">Supplying source changing from </t>
    </r>
    <r>
      <rPr>
        <sz val="11"/>
        <color rgb="FF000000"/>
        <rFont val="Arial"/>
        <family val="2"/>
      </rPr>
      <t xml:space="preserve">1950 - TRILLIUM BEVERAGE INC.  to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001 - LCBO</t>
    </r>
  </si>
  <si>
    <t>Faxe Premium Lager 473ml +</t>
  </si>
  <si>
    <t>Faxe Amber 473ml+</t>
  </si>
  <si>
    <r>
      <t xml:space="preserve">Supplying source changing from </t>
    </r>
    <r>
      <rPr>
        <b/>
        <strike/>
        <sz val="11"/>
        <color rgb="FF000000"/>
        <rFont val="Arial"/>
        <family val="2"/>
      </rPr>
      <t xml:space="preserve">1950 - TRILLIUM BEVERAGE INC.  to </t>
    </r>
    <r>
      <rPr>
        <b/>
        <strike/>
        <sz val="11"/>
        <color theme="1"/>
        <rFont val="Arial"/>
        <family val="2"/>
      </rPr>
      <t xml:space="preserve"> 002 - TBS *</t>
    </r>
    <r>
      <rPr>
        <b/>
        <sz val="11"/>
        <color theme="1"/>
        <rFont val="Arial"/>
        <family val="2"/>
      </rPr>
      <t>*UPDATE: Discontinued by Supplier</t>
    </r>
  </si>
  <si>
    <t>Kensington Another Hazy Beer</t>
  </si>
  <si>
    <r>
      <t xml:space="preserve">Product Description Change: Kensington Another Hazy Beer  to </t>
    </r>
    <r>
      <rPr>
        <b/>
        <sz val="11"/>
        <color theme="1"/>
        <rFont val="Arial"/>
        <family val="2"/>
      </rPr>
      <t>Kensington Supermarket Haze</t>
    </r>
    <r>
      <rPr>
        <sz val="11"/>
        <color theme="1"/>
        <rFont val="Arial"/>
        <family val="2"/>
      </rPr>
      <t>, no UPC/SCC changes</t>
    </r>
  </si>
  <si>
    <t>Ernest Huckleberry Cider</t>
  </si>
  <si>
    <t>Ernest Cider Spiced Cherry</t>
  </si>
  <si>
    <t>Brickworks Island Peach Cider</t>
  </si>
  <si>
    <t>Brickworks Ciderhouse - Rose Cider</t>
  </si>
  <si>
    <t>Brickworks Ciderhouse Raspberry Peach Cider</t>
  </si>
  <si>
    <t>Brickworks Yuzu Lemon Cider</t>
  </si>
  <si>
    <t>Kronenbourg 1664 Lager 4-Pack</t>
  </si>
  <si>
    <t>Kronenbourg 1664 +</t>
  </si>
  <si>
    <t>Bellwoods Jelly King Pog</t>
  </si>
  <si>
    <r>
      <t>UPC &amp; SCC Code updating: OLD UPC = 062067380631;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NEW UPC = 062067423222 </t>
    </r>
    <r>
      <rPr>
        <sz val="11"/>
        <color rgb="FF000000"/>
        <rFont val="Arial"/>
        <family val="2"/>
      </rPr>
      <t xml:space="preserve"> | OLD SCC = 70062067380630;  </t>
    </r>
    <r>
      <rPr>
        <b/>
        <sz val="11"/>
        <color rgb="FF000000"/>
        <rFont val="Arial"/>
        <family val="2"/>
      </rPr>
      <t>NEW SCC = 70062067423221</t>
    </r>
  </si>
  <si>
    <r>
      <t>UPC Code updating: OLD UPC = 062067317354;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NEW UPC = 062067376191 </t>
    </r>
    <r>
      <rPr>
        <sz val="11"/>
        <color theme="1"/>
        <rFont val="Arial"/>
        <family val="2"/>
      </rPr>
      <t xml:space="preserve"> (No Change SCC Code)</t>
    </r>
  </si>
  <si>
    <r>
      <t xml:space="preserve">UPC Code updating: OLD UPC = 644216909278; </t>
    </r>
    <r>
      <rPr>
        <b/>
        <sz val="11"/>
        <color rgb="FF000000"/>
        <rFont val="Arial"/>
        <family val="2"/>
      </rPr>
      <t xml:space="preserve">NEW UPC = 644216909278 </t>
    </r>
    <r>
      <rPr>
        <sz val="11"/>
        <color theme="1"/>
        <rFont val="Arial"/>
        <family val="2"/>
      </rPr>
      <t>(No Change SCC Code)</t>
    </r>
  </si>
  <si>
    <t>Royal City Smoked Honey Ale C</t>
  </si>
  <si>
    <t>Royal City Hibiscus Saison</t>
  </si>
  <si>
    <r>
      <t>SCC Code update: OLD SCC = 10836460000024;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NEW SCC = 10689076790045</t>
    </r>
    <r>
      <rPr>
        <sz val="11"/>
        <color theme="1"/>
        <rFont val="Arial"/>
        <family val="2"/>
      </rPr>
      <t xml:space="preserve"> (No Change UPC Code)</t>
    </r>
  </si>
  <si>
    <t>063657043240</t>
  </si>
  <si>
    <t>On Point Smooth Red</t>
  </si>
  <si>
    <t>Ruffino Orvieto Classico</t>
  </si>
  <si>
    <t>Menage A Trois Silk Red Wine</t>
  </si>
  <si>
    <t>Trinity Oaks Chardonnay</t>
  </si>
  <si>
    <t>Barefoot Bubbly Pinot Grigio</t>
  </si>
  <si>
    <t>085000016046</t>
  </si>
  <si>
    <t>085200005017</t>
  </si>
  <si>
    <t>099988071362</t>
  </si>
  <si>
    <t>Ottakringer Helles</t>
  </si>
  <si>
    <t>Ottakringer Citrus Radler+</t>
  </si>
  <si>
    <r>
      <t xml:space="preserve">Supplying source changing from </t>
    </r>
    <r>
      <rPr>
        <strike/>
        <sz val="11"/>
        <color rgb="FF000000"/>
        <rFont val="Arial"/>
        <family val="2"/>
      </rPr>
      <t xml:space="preserve">001 - LCBO to </t>
    </r>
    <r>
      <rPr>
        <strike/>
        <sz val="11"/>
        <color theme="1"/>
        <rFont val="Arial"/>
        <family val="2"/>
      </rPr>
      <t xml:space="preserve"> </t>
    </r>
    <r>
      <rPr>
        <b/>
        <strike/>
        <sz val="11"/>
        <color theme="1"/>
        <rFont val="Arial"/>
        <family val="2"/>
      </rPr>
      <t>4910 - BREWERY GROUP DENMARK A/S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**</t>
    </r>
    <r>
      <rPr>
        <b/>
        <sz val="11"/>
        <color theme="1"/>
        <rFont val="Arial"/>
        <family val="2"/>
      </rPr>
      <t>SUPPLYING SOURCE CHANGE CANCELLED: SUPPLYING SOURCE WILL REMAIN 001 - LCBO**</t>
    </r>
  </si>
  <si>
    <t>Wild Card Brewing Co. Kolsch</t>
  </si>
  <si>
    <t>Wild Card Brewing Co. Mocha Stout</t>
  </si>
  <si>
    <t>Wild Card Brewing Co. Cardinal Red Ale</t>
  </si>
  <si>
    <r>
      <t xml:space="preserve">Supplying Source Correction: Updated from 001 - LCBO to  </t>
    </r>
    <r>
      <rPr>
        <b/>
        <sz val="11"/>
        <color theme="1"/>
        <rFont val="Arial"/>
        <family val="2"/>
      </rPr>
      <t>3455 - WILD CARD BREWING CO. INC.</t>
    </r>
  </si>
  <si>
    <t>Brugse Zot Blonde</t>
  </si>
  <si>
    <t>Fogolar Riesling VQA</t>
  </si>
  <si>
    <t xml:space="preserve">Masi Masianco Pinot Grigio </t>
  </si>
  <si>
    <r>
      <t xml:space="preserve">SCC Code Updated: OLD SCC = 08002062023425; </t>
    </r>
    <r>
      <rPr>
        <b/>
        <sz val="11"/>
        <color theme="1"/>
        <rFont val="Arial"/>
        <family val="2"/>
      </rPr>
      <t xml:space="preserve">NEW SCC = 08002062026525 </t>
    </r>
    <r>
      <rPr>
        <sz val="11"/>
        <color theme="1"/>
        <rFont val="Arial"/>
        <family val="2"/>
      </rPr>
      <t>(no UPC change)</t>
    </r>
  </si>
  <si>
    <t>Madri Excepcional</t>
  </si>
  <si>
    <r>
      <t xml:space="preserve">Supplying Source Correction: Updated from 001 - LCBO to  </t>
    </r>
    <r>
      <rPr>
        <b/>
        <sz val="11"/>
        <color theme="1"/>
        <rFont val="Arial"/>
        <family val="2"/>
      </rPr>
      <t>002 - TBS</t>
    </r>
  </si>
  <si>
    <t>Bellwoods Monogamy New Zealand Hop Series Ipa</t>
  </si>
  <si>
    <t>Bobcaygeon Brewing Amplitude Strawberry Kiwi</t>
  </si>
  <si>
    <t>Bench Brewing Ripple Effect Pale Ale</t>
  </si>
  <si>
    <r>
      <t>UPC &amp; SCC Code updating: OLD UPC = 628055459675;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NEW UPC = 628055459712 </t>
    </r>
    <r>
      <rPr>
        <sz val="11"/>
        <color rgb="FF000000"/>
        <rFont val="Arial"/>
        <family val="2"/>
      </rPr>
      <t xml:space="preserve"> | OLD SCC = 628055459712;  </t>
    </r>
    <r>
      <rPr>
        <b/>
        <sz val="11"/>
        <color rgb="FF000000"/>
        <rFont val="Arial"/>
        <family val="2"/>
      </rPr>
      <t>NEW SCC = 10628055459719</t>
    </r>
  </si>
  <si>
    <r>
      <t xml:space="preserve">Supplying Source Correction: Updated from 3436 - LAKES OF MUSKOKA COTTAGE BREWERY to  </t>
    </r>
    <r>
      <rPr>
        <b/>
        <sz val="11"/>
        <color theme="1"/>
        <rFont val="Arial"/>
        <family val="2"/>
      </rPr>
      <t>001 - LCBO</t>
    </r>
  </si>
  <si>
    <t>Kronenbourg Blanc Fruit Rouges 6b+</t>
  </si>
  <si>
    <r>
      <t>UPC &amp; SCC Code updating: OLD UPC = 779315380007;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NEW UPC = 874537003755 </t>
    </r>
    <r>
      <rPr>
        <sz val="11"/>
        <color rgb="FF000000"/>
        <rFont val="Arial"/>
        <family val="2"/>
      </rPr>
      <t xml:space="preserve"> | OLD SCC = 10773153300002;  </t>
    </r>
    <r>
      <rPr>
        <b/>
        <sz val="11"/>
        <color rgb="FF000000"/>
        <rFont val="Arial"/>
        <family val="2"/>
      </rPr>
      <t>NEW SCC = 10874537003752</t>
    </r>
  </si>
  <si>
    <t>Babich Rose</t>
  </si>
  <si>
    <t>New Belgium Fat Tire Amber Ale</t>
  </si>
  <si>
    <t>Voodoo Ranger Ipa</t>
  </si>
  <si>
    <t>Heineken Lager 650ml B +</t>
  </si>
  <si>
    <r>
      <t xml:space="preserve">New SKU will be: </t>
    </r>
    <r>
      <rPr>
        <b/>
        <sz val="11"/>
        <color theme="1"/>
        <rFont val="Arial"/>
        <family val="2"/>
      </rPr>
      <t xml:space="preserve">LCBO# 696609 - </t>
    </r>
    <r>
      <rPr>
        <sz val="11"/>
        <color theme="1"/>
        <rFont val="Arial"/>
        <family val="2"/>
      </rPr>
      <t xml:space="preserve"> HEINEKEN 710ML C+. Supplying source will remain 0001 - LCBO. NEW UPC: 072890001375; NEW SCC: 00072890001368 *Available Now*</t>
    </r>
  </si>
  <si>
    <t xml:space="preserve">Masi Modello Pinot Grigio </t>
  </si>
  <si>
    <r>
      <t xml:space="preserve">SCC Code Updated: OLD SCC = 08002062023210; </t>
    </r>
    <r>
      <rPr>
        <b/>
        <sz val="11"/>
        <color theme="1"/>
        <rFont val="Arial"/>
        <family val="2"/>
      </rPr>
      <t xml:space="preserve">NEW SCC = 08002062025931 </t>
    </r>
    <r>
      <rPr>
        <sz val="11"/>
        <color theme="1"/>
        <rFont val="Arial"/>
        <family val="2"/>
      </rPr>
      <t>(no UPC change)</t>
    </r>
  </si>
  <si>
    <t>El Abuelo Org Tempranillo Monastrell Almansa</t>
  </si>
  <si>
    <t>Honest Lot Sauvignon Blanc</t>
  </si>
  <si>
    <t>048162020658</t>
  </si>
  <si>
    <t>4000 mL</t>
  </si>
  <si>
    <t>Redline Brewhouse Rainbow In The Dark</t>
  </si>
  <si>
    <t>Redline Brewhouse Red Light Lagered Ale</t>
  </si>
  <si>
    <t>Redline Brewhouse Check Engine Amber</t>
  </si>
  <si>
    <t>Far From Home Vermont Ipa</t>
  </si>
  <si>
    <t>Redline Underglow Session Ipa</t>
  </si>
  <si>
    <t>Idle Coast Pale Lager</t>
  </si>
  <si>
    <t>Redline Clutch</t>
  </si>
  <si>
    <t>Unibroue Blanche De Chambly Apricot</t>
  </si>
  <si>
    <t>Stock And Row Slow &amp; Low Dry Cider</t>
  </si>
  <si>
    <t>Stock And Row Cold Tea Raspberry Flavoured Cider</t>
  </si>
  <si>
    <r>
      <t xml:space="preserve">Supplying source changing from </t>
    </r>
    <r>
      <rPr>
        <sz val="11"/>
        <color rgb="FF000000"/>
        <rFont val="Arial"/>
        <family val="2"/>
      </rPr>
      <t xml:space="preserve">3552 - STOCK AND ROW INC.  to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001 - LCBO</t>
    </r>
  </si>
  <si>
    <t>Flying Monkeys The Mutants Are Revolting</t>
  </si>
  <si>
    <t>Railway City Cherry Creamsic Ale</t>
  </si>
  <si>
    <t>Nickel Brook No Bad Daze Easy Going Lager</t>
  </si>
  <si>
    <t>Equals Brewing Bangarang Strawberry Lemonade</t>
  </si>
  <si>
    <r>
      <t xml:space="preserve">Product Description Change: Nickel Brook No Bad Daze Easy Going Lager  to </t>
    </r>
    <r>
      <rPr>
        <b/>
        <sz val="11"/>
        <color theme="1"/>
        <rFont val="Arial"/>
        <family val="2"/>
      </rPr>
      <t xml:space="preserve">Nickel Brook Lager </t>
    </r>
    <r>
      <rPr>
        <sz val="11"/>
        <color theme="1"/>
        <rFont val="Arial"/>
        <family val="2"/>
      </rPr>
      <t>, no UPC/SCC changes</t>
    </r>
  </si>
  <si>
    <t>Forked River Red Coat Red Ipa</t>
  </si>
  <si>
    <r>
      <t xml:space="preserve">Product Description Change: Forked River Red Coat Red Ipa  to </t>
    </r>
    <r>
      <rPr>
        <b/>
        <sz val="11"/>
        <color theme="1"/>
        <rFont val="Arial"/>
        <family val="2"/>
      </rPr>
      <t xml:space="preserve">	Forked River First Day of Spring Red IPA</t>
    </r>
    <r>
      <rPr>
        <sz val="11"/>
        <color theme="1"/>
        <rFont val="Arial"/>
        <family val="2"/>
      </rPr>
      <t>, no UPC/SCC changes</t>
    </r>
  </si>
  <si>
    <t>Innis &amp; Gunn Irish Whiskey Cask</t>
  </si>
  <si>
    <t>Fenlon Falls Italian Pilsner</t>
  </si>
  <si>
    <t>Fenelon Falls Red Ale</t>
  </si>
  <si>
    <t>Fenelon Falls Brewery Vienna Lager</t>
  </si>
  <si>
    <t>Pelee Island Baco Noir VQA Bib</t>
  </si>
  <si>
    <t>Pelee Island Lighthouse Riesling VQA Bib</t>
  </si>
  <si>
    <t xml:space="preserve">Veuve Clicquot Ice Jacket </t>
  </si>
  <si>
    <r>
      <t xml:space="preserve">UPC &amp; SCC Code updating: OLD UPC = 3049614214813; </t>
    </r>
    <r>
      <rPr>
        <b/>
        <sz val="11"/>
        <color rgb="FF000000"/>
        <rFont val="Arial"/>
        <family val="2"/>
      </rPr>
      <t xml:space="preserve">NEW UPC = 3049614228032 </t>
    </r>
    <r>
      <rPr>
        <sz val="11"/>
        <color rgb="FF000000"/>
        <rFont val="Arial"/>
        <family val="2"/>
      </rPr>
      <t xml:space="preserve"> | OLD SCC = 3049614214882;  </t>
    </r>
    <r>
      <rPr>
        <b/>
        <sz val="11"/>
        <color rgb="FF000000"/>
        <rFont val="Arial"/>
        <family val="2"/>
      </rPr>
      <t>NEW SCC = 3049614228124</t>
    </r>
  </si>
  <si>
    <t>Griffon Red Ale 6 Pk-B+</t>
  </si>
  <si>
    <t>Griffon Extra Pale Ale 6 Pk-B +</t>
  </si>
  <si>
    <t>Spy Cider House And Distillery Crimson Tide Cider</t>
  </si>
  <si>
    <t>Ernest Rose Light Cider Spritzer Cranberry Cherry</t>
  </si>
  <si>
    <t>Sam Adams Wicked Easy 6-Pack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</si>
</sst>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0000000"/>
    <numFmt numFmtId="166" formatCode="m/d/yyyy;@"/>
    <numFmt numFmtId="167" formatCode="[$-409]d/mmm/yy;@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trike/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trike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8"/>
      <color theme="1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000000"/>
      <name val="Arial"/>
      <family val="2"/>
    </font>
    <font>
      <b/>
      <sz val="12"/>
      <color theme="1"/>
      <name val="Arial"/>
      <family val="2"/>
    </font>
    <font>
      <b/>
      <strike/>
      <sz val="11"/>
      <color theme="1"/>
      <name val="Arial"/>
      <family val="2"/>
    </font>
    <font>
      <strike/>
      <sz val="11"/>
      <color rgb="FF000000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F1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8" fillId="10" borderId="9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8" fillId="0" borderId="0"/>
    <xf numFmtId="0" fontId="33" fillId="0" borderId="0"/>
  </cellStyleXfs>
  <cellXfs count="310">
    <xf numFmtId="0" fontId="0" fillId="0" borderId="0" xfId="0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/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0" fillId="3" borderId="0" xfId="0" applyFill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9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quotePrefix="1" applyFill="1" applyBorder="1" applyAlignment="1">
      <alignment horizontal="right"/>
    </xf>
    <xf numFmtId="0" fontId="0" fillId="0" borderId="0" xfId="0" applyFill="1"/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right"/>
    </xf>
    <xf numFmtId="10" fontId="0" fillId="0" borderId="1" xfId="0" applyNumberFormat="1" applyBorder="1"/>
    <xf numFmtId="0" fontId="2" fillId="0" borderId="0" xfId="0" applyFont="1" applyBorder="1"/>
    <xf numFmtId="164" fontId="0" fillId="0" borderId="1" xfId="0" applyNumberFormat="1" applyFill="1" applyBorder="1" applyAlignment="1">
      <alignment wrapText="1"/>
    </xf>
    <xf numFmtId="10" fontId="0" fillId="0" borderId="1" xfId="0" applyNumberFormat="1" applyBorder="1" applyAlignment="1">
      <alignment wrapText="1"/>
    </xf>
    <xf numFmtId="14" fontId="0" fillId="0" borderId="1" xfId="0" applyNumberFormat="1" applyBorder="1"/>
    <xf numFmtId="0" fontId="0" fillId="0" borderId="1" xfId="0" quotePrefix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center"/>
    </xf>
    <xf numFmtId="164" fontId="0" fillId="0" borderId="1" xfId="0" quotePrefix="1" applyNumberFormat="1" applyFill="1" applyBorder="1" applyAlignment="1">
      <alignment horizontal="right" wrapText="1"/>
    </xf>
    <xf numFmtId="0" fontId="0" fillId="0" borderId="0" xfId="0" quotePrefix="1" applyFill="1" applyAlignment="1">
      <alignment horizontal="right"/>
    </xf>
    <xf numFmtId="0" fontId="0" fillId="0" borderId="1" xfId="0" applyFill="1" applyBorder="1" applyAlignment="1">
      <alignment wrapText="1"/>
    </xf>
    <xf numFmtId="0" fontId="2" fillId="0" borderId="1" xfId="0" quotePrefix="1" applyFont="1" applyBorder="1" applyAlignment="1">
      <alignment horizontal="center"/>
    </xf>
    <xf numFmtId="1" fontId="2" fillId="0" borderId="1" xfId="0" quotePrefix="1" applyNumberFormat="1" applyFont="1" applyBorder="1" applyAlignment="1">
      <alignment horizontal="right"/>
    </xf>
    <xf numFmtId="0" fontId="25" fillId="35" borderId="0" xfId="0" applyFont="1" applyFill="1" applyAlignment="1">
      <alignment vertical="center" wrapText="1"/>
    </xf>
    <xf numFmtId="0" fontId="26" fillId="0" borderId="0" xfId="0" applyFont="1"/>
    <xf numFmtId="164" fontId="0" fillId="0" borderId="1" xfId="0" applyNumberFormat="1" applyBorder="1"/>
    <xf numFmtId="0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1" fontId="27" fillId="0" borderId="1" xfId="0" applyNumberFormat="1" applyFont="1" applyBorder="1" applyAlignment="1">
      <alignment horizontal="right"/>
    </xf>
    <xf numFmtId="164" fontId="27" fillId="0" borderId="1" xfId="0" applyNumberFormat="1" applyFont="1" applyBorder="1" applyAlignment="1">
      <alignment horizontal="right"/>
    </xf>
    <xf numFmtId="0" fontId="0" fillId="0" borderId="1" xfId="0" quotePrefix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NumberFormat="1" applyBorder="1"/>
    <xf numFmtId="1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0" fillId="0" borderId="0" xfId="0" quotePrefix="1" applyFill="1" applyBorder="1" applyAlignment="1">
      <alignment horizontal="center" wrapText="1"/>
    </xf>
    <xf numFmtId="0" fontId="0" fillId="0" borderId="0" xfId="0" applyFill="1" applyBorder="1"/>
    <xf numFmtId="0" fontId="0" fillId="0" borderId="0" xfId="0" quotePrefix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28" fillId="0" borderId="0" xfId="0" applyFont="1"/>
    <xf numFmtId="0" fontId="0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21" fillId="0" borderId="0" xfId="0" applyFont="1" applyFill="1"/>
    <xf numFmtId="0" fontId="0" fillId="0" borderId="1" xfId="0" quotePrefix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11" xfId="0" applyFill="1" applyBorder="1"/>
    <xf numFmtId="1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0" fillId="0" borderId="1" xfId="0" applyFont="1" applyFill="1" applyBorder="1"/>
    <xf numFmtId="0" fontId="0" fillId="0" borderId="1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quotePrefix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 wrapText="1"/>
    </xf>
    <xf numFmtId="164" fontId="29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30" fillId="0" borderId="0" xfId="0" applyFont="1"/>
    <xf numFmtId="1" fontId="0" fillId="0" borderId="1" xfId="0" quotePrefix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quotePrefix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9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left"/>
    </xf>
    <xf numFmtId="0" fontId="29" fillId="0" borderId="1" xfId="0" quotePrefix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Font="1" applyFill="1" applyAlignment="1">
      <alignment horizontal="left"/>
    </xf>
    <xf numFmtId="0" fontId="0" fillId="0" borderId="1" xfId="0" quotePrefix="1" applyFont="1" applyFill="1" applyBorder="1" applyAlignment="1">
      <alignment horizontal="left" wrapText="1"/>
    </xf>
    <xf numFmtId="0" fontId="0" fillId="0" borderId="1" xfId="0" applyFont="1" applyBorder="1"/>
    <xf numFmtId="0" fontId="0" fillId="0" borderId="0" xfId="0" applyBorder="1"/>
    <xf numFmtId="1" fontId="0" fillId="0" borderId="1" xfId="0" applyNumberForma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left"/>
    </xf>
    <xf numFmtId="1" fontId="0" fillId="0" borderId="0" xfId="0" applyNumberFormat="1" applyFill="1"/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quotePrefix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" fontId="0" fillId="0" borderId="1" xfId="0" quotePrefix="1" applyNumberFormat="1" applyFont="1" applyFill="1" applyBorder="1" applyAlignment="1">
      <alignment horizontal="center" wrapText="1"/>
    </xf>
    <xf numFmtId="0" fontId="0" fillId="0" borderId="12" xfId="0" applyBorder="1"/>
    <xf numFmtId="164" fontId="0" fillId="0" borderId="12" xfId="0" applyNumberFormat="1" applyFont="1" applyFill="1" applyBorder="1" applyAlignment="1">
      <alignment horizontal="right" wrapText="1"/>
    </xf>
    <xf numFmtId="1" fontId="6" fillId="0" borderId="11" xfId="0" applyNumberFormat="1" applyFont="1" applyBorder="1" applyAlignment="1">
      <alignment horizontal="center"/>
    </xf>
    <xf numFmtId="1" fontId="0" fillId="0" borderId="1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6" fontId="0" fillId="0" borderId="0" xfId="0" applyNumberFormat="1"/>
    <xf numFmtId="0" fontId="0" fillId="0" borderId="1" xfId="0" applyNumberFormat="1" applyBorder="1" applyAlignment="1">
      <alignment horizontal="center" wrapText="1"/>
    </xf>
    <xf numFmtId="0" fontId="6" fillId="0" borderId="1" xfId="0" quotePrefix="1" applyFont="1" applyBorder="1" applyAlignment="1">
      <alignment horizontal="center"/>
    </xf>
    <xf numFmtId="1" fontId="6" fillId="0" borderId="1" xfId="0" quotePrefix="1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29" fillId="0" borderId="1" xfId="0" applyFont="1" applyBorder="1"/>
    <xf numFmtId="1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1" fontId="0" fillId="0" borderId="1" xfId="0" quotePrefix="1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wrapText="1"/>
    </xf>
    <xf numFmtId="10" fontId="0" fillId="0" borderId="0" xfId="0" applyNumberFormat="1"/>
    <xf numFmtId="166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1" fontId="0" fillId="0" borderId="1" xfId="0" quotePrefix="1" applyNumberFormat="1" applyBorder="1" applyAlignment="1">
      <alignment horizontal="center" wrapText="1"/>
    </xf>
    <xf numFmtId="16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wrapText="1"/>
    </xf>
    <xf numFmtId="166" fontId="0" fillId="0" borderId="11" xfId="0" applyNumberFormat="1" applyFont="1" applyFill="1" applyBorder="1" applyAlignment="1">
      <alignment horizontal="right"/>
    </xf>
    <xf numFmtId="0" fontId="0" fillId="0" borderId="1" xfId="0" quotePrefix="1" applyNumberFormat="1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0" xfId="0" applyAlignment="1"/>
    <xf numFmtId="166" fontId="0" fillId="0" borderId="11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center" wrapText="1"/>
    </xf>
    <xf numFmtId="0" fontId="0" fillId="0" borderId="1" xfId="0" quotePrefix="1" applyNumberFormat="1" applyBorder="1" applyAlignment="1">
      <alignment horizontal="center" wrapText="1"/>
    </xf>
    <xf numFmtId="1" fontId="0" fillId="0" borderId="1" xfId="0" applyNumberForma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center" wrapText="1"/>
    </xf>
    <xf numFmtId="167" fontId="0" fillId="0" borderId="11" xfId="0" quotePrefix="1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166" fontId="0" fillId="0" borderId="11" xfId="0" applyNumberFormat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35" fillId="0" borderId="1" xfId="0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1" fontId="0" fillId="0" borderId="11" xfId="0" quotePrefix="1" applyNumberFormat="1" applyBorder="1" applyAlignment="1">
      <alignment horizontal="center"/>
    </xf>
    <xf numFmtId="0" fontId="4" fillId="0" borderId="0" xfId="0" quotePrefix="1" applyFont="1" applyAlignment="1">
      <alignment horizontal="center"/>
    </xf>
    <xf numFmtId="1" fontId="37" fillId="0" borderId="0" xfId="0" applyNumberFormat="1" applyFont="1"/>
    <xf numFmtId="0" fontId="4" fillId="0" borderId="1" xfId="0" applyFont="1" applyBorder="1" applyAlignment="1"/>
    <xf numFmtId="1" fontId="0" fillId="0" borderId="11" xfId="0" quotePrefix="1" applyNumberForma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quotePrefix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39" fillId="0" borderId="0" xfId="0" applyFont="1"/>
    <xf numFmtId="0" fontId="39" fillId="0" borderId="0" xfId="0" applyFont="1" applyAlignment="1">
      <alignment horizontal="right"/>
    </xf>
    <xf numFmtId="164" fontId="39" fillId="0" borderId="0" xfId="0" applyNumberFormat="1" applyFont="1"/>
    <xf numFmtId="0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1" fontId="39" fillId="0" borderId="11" xfId="0" quotePrefix="1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 applyAlignment="1">
      <alignment horizontal="left" wrapText="1"/>
    </xf>
    <xf numFmtId="166" fontId="39" fillId="0" borderId="11" xfId="0" applyNumberFormat="1" applyFont="1" applyFill="1" applyBorder="1" applyAlignment="1">
      <alignment horizontal="right"/>
    </xf>
    <xf numFmtId="0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/>
    <xf numFmtId="1" fontId="39" fillId="0" borderId="1" xfId="0" quotePrefix="1" applyNumberFormat="1" applyFont="1" applyBorder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0" fontId="40" fillId="0" borderId="1" xfId="0" applyNumberFormat="1" applyFont="1" applyBorder="1" applyAlignment="1">
      <alignment horizontal="center" wrapText="1"/>
    </xf>
    <xf numFmtId="0" fontId="40" fillId="0" borderId="1" xfId="0" applyNumberFormat="1" applyFont="1" applyBorder="1" applyAlignment="1">
      <alignment horizontal="center"/>
    </xf>
    <xf numFmtId="0" fontId="40" fillId="0" borderId="1" xfId="0" applyFont="1" applyBorder="1" applyAlignment="1"/>
    <xf numFmtId="1" fontId="39" fillId="0" borderId="11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1" fontId="39" fillId="0" borderId="11" xfId="0" quotePrefix="1" applyNumberFormat="1" applyFont="1" applyBorder="1" applyAlignment="1">
      <alignment horizontal="center" wrapText="1"/>
    </xf>
    <xf numFmtId="0" fontId="40" fillId="0" borderId="1" xfId="0" applyFont="1" applyBorder="1" applyAlignment="1">
      <alignment horizontal="center"/>
    </xf>
    <xf numFmtId="0" fontId="39" fillId="0" borderId="1" xfId="0" quotePrefix="1" applyFont="1" applyBorder="1" applyAlignment="1">
      <alignment horizontal="center"/>
    </xf>
    <xf numFmtId="1" fontId="39" fillId="0" borderId="1" xfId="0" quotePrefix="1" applyNumberFormat="1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8" fillId="36" borderId="1" xfId="0" applyFont="1" applyFill="1" applyBorder="1" applyAlignment="1">
      <alignment horizontal="center"/>
    </xf>
    <xf numFmtId="0" fontId="38" fillId="36" borderId="1" xfId="0" applyFont="1" applyFill="1" applyBorder="1" applyAlignment="1">
      <alignment horizontal="center" wrapText="1"/>
    </xf>
    <xf numFmtId="164" fontId="38" fillId="36" borderId="1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left"/>
    </xf>
    <xf numFmtId="0" fontId="39" fillId="0" borderId="1" xfId="0" applyNumberFormat="1" applyFont="1" applyBorder="1" applyAlignment="1">
      <alignment horizontal="center"/>
    </xf>
    <xf numFmtId="0" fontId="40" fillId="0" borderId="1" xfId="0" applyFont="1" applyBorder="1"/>
    <xf numFmtId="166" fontId="39" fillId="0" borderId="11" xfId="0" applyNumberFormat="1" applyFont="1" applyBorder="1" applyAlignment="1">
      <alignment horizontal="right"/>
    </xf>
    <xf numFmtId="1" fontId="39" fillId="0" borderId="11" xfId="0" quotePrefix="1" applyNumberFormat="1" applyFont="1" applyBorder="1" applyAlignment="1">
      <alignment horizontal="left"/>
    </xf>
    <xf numFmtId="0" fontId="39" fillId="0" borderId="1" xfId="0" applyFont="1" applyBorder="1" applyAlignment="1"/>
    <xf numFmtId="0" fontId="39" fillId="0" borderId="1" xfId="0" applyNumberFormat="1" applyFont="1" applyBorder="1" applyAlignment="1">
      <alignment horizontal="left"/>
    </xf>
    <xf numFmtId="0" fontId="40" fillId="37" borderId="1" xfId="0" applyFont="1" applyFill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40" fillId="37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wrapText="1"/>
    </xf>
    <xf numFmtId="0" fontId="40" fillId="0" borderId="1" xfId="0" applyFont="1" applyBorder="1" applyAlignment="1">
      <alignment wrapText="1"/>
    </xf>
    <xf numFmtId="166" fontId="39" fillId="0" borderId="11" xfId="0" applyNumberFormat="1" applyFont="1" applyBorder="1" applyAlignment="1">
      <alignment horizontal="right" wrapText="1"/>
    </xf>
    <xf numFmtId="0" fontId="41" fillId="0" borderId="0" xfId="0" applyFont="1" applyAlignment="1">
      <alignment horizontal="left"/>
    </xf>
    <xf numFmtId="0" fontId="39" fillId="0" borderId="1" xfId="0" applyNumberFormat="1" applyFont="1" applyBorder="1" applyAlignment="1">
      <alignment horizontal="left" wrapText="1"/>
    </xf>
    <xf numFmtId="0" fontId="42" fillId="0" borderId="1" xfId="0" applyFont="1" applyBorder="1" applyAlignment="1">
      <alignment horizontal="left" wrapText="1"/>
    </xf>
    <xf numFmtId="0" fontId="38" fillId="0" borderId="1" xfId="0" applyNumberFormat="1" applyFont="1" applyBorder="1" applyAlignment="1">
      <alignment horizontal="center" wrapText="1"/>
    </xf>
    <xf numFmtId="0" fontId="38" fillId="0" borderId="1" xfId="0" applyNumberFormat="1" applyFont="1" applyBorder="1" applyAlignment="1">
      <alignment horizontal="left" wrapText="1"/>
    </xf>
    <xf numFmtId="1" fontId="38" fillId="0" borderId="11" xfId="0" quotePrefix="1" applyNumberFormat="1" applyFont="1" applyBorder="1" applyAlignment="1">
      <alignment horizontal="center" wrapText="1"/>
    </xf>
    <xf numFmtId="0" fontId="38" fillId="0" borderId="1" xfId="0" quotePrefix="1" applyFont="1" applyBorder="1" applyAlignment="1">
      <alignment horizontal="center"/>
    </xf>
    <xf numFmtId="166" fontId="38" fillId="0" borderId="11" xfId="0" applyNumberFormat="1" applyFont="1" applyBorder="1" applyAlignment="1">
      <alignment horizontal="right" wrapText="1"/>
    </xf>
    <xf numFmtId="0" fontId="45" fillId="0" borderId="1" xfId="0" applyFont="1" applyBorder="1" applyAlignment="1">
      <alignment horizontal="left" wrapText="1"/>
    </xf>
    <xf numFmtId="0" fontId="39" fillId="0" borderId="1" xfId="0" applyFont="1" applyBorder="1" applyAlignment="1">
      <alignment horizontal="left"/>
    </xf>
    <xf numFmtId="0" fontId="42" fillId="0" borderId="1" xfId="0" applyNumberFormat="1" applyFont="1" applyBorder="1" applyAlignment="1">
      <alignment horizontal="center" wrapText="1"/>
    </xf>
    <xf numFmtId="0" fontId="42" fillId="0" borderId="1" xfId="0" applyNumberFormat="1" applyFont="1" applyBorder="1" applyAlignment="1">
      <alignment horizontal="left" wrapText="1"/>
    </xf>
    <xf numFmtId="1" fontId="42" fillId="0" borderId="11" xfId="0" quotePrefix="1" applyNumberFormat="1" applyFont="1" applyBorder="1" applyAlignment="1">
      <alignment horizontal="center" wrapText="1"/>
    </xf>
    <xf numFmtId="0" fontId="42" fillId="0" borderId="1" xfId="0" quotePrefix="1" applyFont="1" applyBorder="1" applyAlignment="1">
      <alignment horizontal="center"/>
    </xf>
    <xf numFmtId="166" fontId="42" fillId="0" borderId="11" xfId="0" applyNumberFormat="1" applyFont="1" applyBorder="1" applyAlignment="1">
      <alignment horizontal="right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4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1526893</xdr:colOff>
      <xdr:row>1</xdr:row>
      <xdr:rowOff>239649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FFF413-5913-44A3-9AF7-F3E8DB295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0793" cy="493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1526893</xdr:colOff>
      <xdr:row>1</xdr:row>
      <xdr:rowOff>239649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A843F6-51A2-404F-862B-BF4CE8AFA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7143" cy="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9604-E285-4599-99D3-96C556E4E16D}">
  <dimension ref="A1:F170"/>
  <sheetViews>
    <sheetView showGridLines="0" tabSelected="1" zoomScale="80" zoomScaleNormal="80" workbookViewId="0">
      <selection activeCell="B15" sqref="B15"/>
    </sheetView>
  </sheetViews>
  <sheetFormatPr defaultColWidth="9.09765625" defaultRowHeight="14" x14ac:dyDescent="0.3"/>
  <cols>
    <col min="1" max="1" width="10.3984375" style="265" customWidth="1"/>
    <col min="2" max="2" width="60.19921875" style="247" customWidth="1"/>
    <col min="3" max="3" width="18.09765625" style="248" customWidth="1"/>
    <col min="4" max="4" width="8.8984375" style="265" customWidth="1"/>
    <col min="5" max="5" width="98.3984375" style="247" customWidth="1"/>
    <col min="6" max="6" width="12.3984375" style="249" customWidth="1"/>
    <col min="7" max="7" width="24.09765625" style="64" customWidth="1"/>
    <col min="8" max="8" width="18.3984375" style="64" bestFit="1" customWidth="1"/>
    <col min="9" max="16384" width="9.09765625" style="64"/>
  </cols>
  <sheetData>
    <row r="1" spans="1:6" ht="20.7" customHeight="1" x14ac:dyDescent="0.45">
      <c r="D1" s="308" t="s">
        <v>5085</v>
      </c>
      <c r="E1" s="308"/>
    </row>
    <row r="2" spans="1:6" ht="20.7" customHeight="1" x14ac:dyDescent="0.45">
      <c r="D2" s="293"/>
      <c r="E2" s="293"/>
    </row>
    <row r="3" spans="1:6" ht="33.450000000000003" customHeight="1" x14ac:dyDescent="0.3">
      <c r="A3" s="277" t="s">
        <v>1</v>
      </c>
      <c r="B3" s="276" t="s">
        <v>2</v>
      </c>
      <c r="C3" s="276" t="s">
        <v>23</v>
      </c>
      <c r="D3" s="276" t="s">
        <v>3</v>
      </c>
      <c r="E3" s="277" t="s">
        <v>17</v>
      </c>
      <c r="F3" s="278" t="s">
        <v>4</v>
      </c>
    </row>
    <row r="4" spans="1:6" s="39" customFormat="1" x14ac:dyDescent="0.3">
      <c r="A4" s="280">
        <v>29510</v>
      </c>
      <c r="B4" s="263" t="s">
        <v>5205</v>
      </c>
      <c r="C4" s="252" t="str">
        <f>"628250584028"</f>
        <v>628250584028</v>
      </c>
      <c r="D4" s="253" t="s">
        <v>25</v>
      </c>
      <c r="E4" s="254" t="s">
        <v>3367</v>
      </c>
      <c r="F4" s="292">
        <v>45545</v>
      </c>
    </row>
    <row r="5" spans="1:6" s="39" customFormat="1" x14ac:dyDescent="0.3">
      <c r="A5" s="280">
        <v>19977</v>
      </c>
      <c r="B5" s="263" t="s">
        <v>5206</v>
      </c>
      <c r="C5" s="252" t="str">
        <f>"0628451939719"</f>
        <v>0628451939719</v>
      </c>
      <c r="D5" s="253" t="s">
        <v>25</v>
      </c>
      <c r="E5" s="254" t="s">
        <v>3367</v>
      </c>
      <c r="F5" s="292">
        <v>45412</v>
      </c>
    </row>
    <row r="6" spans="1:6" s="39" customFormat="1" x14ac:dyDescent="0.3">
      <c r="A6" s="280">
        <v>25961</v>
      </c>
      <c r="B6" s="263" t="s">
        <v>5207</v>
      </c>
      <c r="C6" s="252" t="str">
        <f>"087692008699"</f>
        <v>087692008699</v>
      </c>
      <c r="D6" s="253" t="s">
        <v>37</v>
      </c>
      <c r="E6" s="254" t="s">
        <v>3367</v>
      </c>
      <c r="F6" s="292">
        <v>45412</v>
      </c>
    </row>
    <row r="7" spans="1:6" s="39" customFormat="1" x14ac:dyDescent="0.3">
      <c r="A7" s="280">
        <v>124990</v>
      </c>
      <c r="B7" s="263" t="s">
        <v>2480</v>
      </c>
      <c r="C7" s="252" t="str">
        <f>"824824171476"</f>
        <v>824824171476</v>
      </c>
      <c r="D7" s="253" t="s">
        <v>25</v>
      </c>
      <c r="E7" s="254" t="s">
        <v>3367</v>
      </c>
      <c r="F7" s="292">
        <v>45412</v>
      </c>
    </row>
    <row r="8" spans="1:6" s="39" customFormat="1" x14ac:dyDescent="0.3">
      <c r="A8" s="280">
        <v>613596</v>
      </c>
      <c r="B8" s="263" t="s">
        <v>5203</v>
      </c>
      <c r="C8" s="252" t="str">
        <f>"055480003003"</f>
        <v>055480003003</v>
      </c>
      <c r="D8" s="253" t="s">
        <v>106</v>
      </c>
      <c r="E8" s="254" t="s">
        <v>3367</v>
      </c>
      <c r="F8" s="292">
        <v>45385</v>
      </c>
    </row>
    <row r="9" spans="1:6" s="39" customFormat="1" x14ac:dyDescent="0.3">
      <c r="A9" s="280">
        <v>923821</v>
      </c>
      <c r="B9" s="263" t="s">
        <v>5204</v>
      </c>
      <c r="C9" s="252" t="str">
        <f>"055480002006"</f>
        <v>055480002006</v>
      </c>
      <c r="D9" s="253" t="s">
        <v>106</v>
      </c>
      <c r="E9" s="254" t="s">
        <v>3367</v>
      </c>
      <c r="F9" s="292">
        <v>45385</v>
      </c>
    </row>
    <row r="10" spans="1:6" s="39" customFormat="1" ht="27.95" x14ac:dyDescent="0.3">
      <c r="A10" s="280">
        <v>37069</v>
      </c>
      <c r="B10" s="263" t="s">
        <v>5201</v>
      </c>
      <c r="C10" s="252">
        <v>3049614214813</v>
      </c>
      <c r="D10" s="253" t="s">
        <v>202</v>
      </c>
      <c r="E10" s="260" t="s">
        <v>5202</v>
      </c>
      <c r="F10" s="292">
        <v>45398</v>
      </c>
    </row>
    <row r="11" spans="1:6" s="39" customFormat="1" x14ac:dyDescent="0.3">
      <c r="A11" s="280">
        <v>18422</v>
      </c>
      <c r="B11" s="263" t="s">
        <v>5199</v>
      </c>
      <c r="C11" s="252">
        <v>777081428411</v>
      </c>
      <c r="D11" s="253" t="s">
        <v>455</v>
      </c>
      <c r="E11" s="254" t="s">
        <v>3367</v>
      </c>
      <c r="F11" s="292">
        <v>45398</v>
      </c>
    </row>
    <row r="12" spans="1:6" s="39" customFormat="1" x14ac:dyDescent="0.3">
      <c r="A12" s="280">
        <v>18427</v>
      </c>
      <c r="B12" s="263" t="s">
        <v>5200</v>
      </c>
      <c r="C12" s="252">
        <v>777081418443</v>
      </c>
      <c r="D12" s="253" t="s">
        <v>455</v>
      </c>
      <c r="E12" s="254" t="s">
        <v>3367</v>
      </c>
      <c r="F12" s="292">
        <v>45398</v>
      </c>
    </row>
    <row r="13" spans="1:6" s="39" customFormat="1" x14ac:dyDescent="0.3">
      <c r="A13" s="280">
        <v>19781</v>
      </c>
      <c r="B13" s="263" t="s">
        <v>5196</v>
      </c>
      <c r="C13" s="252" t="str">
        <f>"074528904355"</f>
        <v>074528904355</v>
      </c>
      <c r="D13" s="253" t="s">
        <v>25</v>
      </c>
      <c r="E13" s="254" t="s">
        <v>3367</v>
      </c>
      <c r="F13" s="292">
        <v>45379</v>
      </c>
    </row>
    <row r="14" spans="1:6" s="39" customFormat="1" x14ac:dyDescent="0.3">
      <c r="A14" s="280">
        <v>576579</v>
      </c>
      <c r="B14" s="263" t="s">
        <v>5197</v>
      </c>
      <c r="C14" s="252" t="str">
        <f>"074528904188"</f>
        <v>074528904188</v>
      </c>
      <c r="D14" s="253" t="s">
        <v>25</v>
      </c>
      <c r="E14" s="254" t="s">
        <v>3367</v>
      </c>
      <c r="F14" s="292">
        <v>45379</v>
      </c>
    </row>
    <row r="15" spans="1:6" s="39" customFormat="1" x14ac:dyDescent="0.3">
      <c r="A15" s="280">
        <v>576587</v>
      </c>
      <c r="B15" s="263" t="s">
        <v>5198</v>
      </c>
      <c r="C15" s="252" t="str">
        <f>"074528904195"</f>
        <v>074528904195</v>
      </c>
      <c r="D15" s="253" t="s">
        <v>25</v>
      </c>
      <c r="E15" s="254" t="s">
        <v>3367</v>
      </c>
      <c r="F15" s="292">
        <v>45379</v>
      </c>
    </row>
    <row r="16" spans="1:6" s="39" customFormat="1" x14ac:dyDescent="0.3">
      <c r="A16" s="280">
        <v>36807</v>
      </c>
      <c r="B16" s="263" t="s">
        <v>5195</v>
      </c>
      <c r="C16" s="252" t="str">
        <f>"5060190565579"</f>
        <v>5060190565579</v>
      </c>
      <c r="D16" s="253" t="s">
        <v>25</v>
      </c>
      <c r="E16" s="254" t="s">
        <v>3367</v>
      </c>
      <c r="F16" s="292">
        <v>45398</v>
      </c>
    </row>
    <row r="17" spans="1:6" s="39" customFormat="1" ht="27.95" x14ac:dyDescent="0.3">
      <c r="A17" s="280">
        <v>37729</v>
      </c>
      <c r="B17" s="263" t="s">
        <v>5193</v>
      </c>
      <c r="C17" s="252" t="str">
        <f>"717390417072"</f>
        <v>717390417072</v>
      </c>
      <c r="D17" s="253" t="s">
        <v>25</v>
      </c>
      <c r="E17" s="254" t="s">
        <v>5194</v>
      </c>
      <c r="F17" s="292">
        <v>45398</v>
      </c>
    </row>
    <row r="18" spans="1:6" s="39" customFormat="1" ht="27.95" x14ac:dyDescent="0.3">
      <c r="A18" s="280">
        <v>18773</v>
      </c>
      <c r="B18" s="263" t="s">
        <v>5190</v>
      </c>
      <c r="C18" s="252" t="str">
        <f>"852500001861"</f>
        <v>852500001861</v>
      </c>
      <c r="D18" s="253" t="s">
        <v>25</v>
      </c>
      <c r="E18" s="254" t="s">
        <v>5192</v>
      </c>
      <c r="F18" s="292">
        <v>45398</v>
      </c>
    </row>
    <row r="19" spans="1:6" s="39" customFormat="1" x14ac:dyDescent="0.3">
      <c r="A19" s="280">
        <v>22135</v>
      </c>
      <c r="B19" s="263" t="s">
        <v>5191</v>
      </c>
      <c r="C19" s="252" t="str">
        <f>"627987361490"</f>
        <v>627987361490</v>
      </c>
      <c r="D19" s="253" t="s">
        <v>25</v>
      </c>
      <c r="E19" s="254" t="s">
        <v>3367</v>
      </c>
      <c r="F19" s="292">
        <v>45398</v>
      </c>
    </row>
    <row r="20" spans="1:6" s="39" customFormat="1" x14ac:dyDescent="0.3">
      <c r="A20" s="280">
        <v>33223</v>
      </c>
      <c r="B20" s="263" t="s">
        <v>5189</v>
      </c>
      <c r="C20" s="252" t="str">
        <f>"856217001367"</f>
        <v>856217001367</v>
      </c>
      <c r="D20" s="253" t="s">
        <v>25</v>
      </c>
      <c r="E20" s="254" t="s">
        <v>3367</v>
      </c>
      <c r="F20" s="292">
        <v>45373</v>
      </c>
    </row>
    <row r="21" spans="1:6" s="39" customFormat="1" x14ac:dyDescent="0.3">
      <c r="A21" s="280">
        <v>15717</v>
      </c>
      <c r="B21" s="263" t="s">
        <v>5188</v>
      </c>
      <c r="C21" s="252" t="str">
        <f>"870766000749"</f>
        <v>870766000749</v>
      </c>
      <c r="D21" s="253" t="s">
        <v>25</v>
      </c>
      <c r="E21" s="254" t="s">
        <v>3367</v>
      </c>
      <c r="F21" s="292">
        <v>45391</v>
      </c>
    </row>
    <row r="22" spans="1:6" s="39" customFormat="1" x14ac:dyDescent="0.3">
      <c r="A22" s="280">
        <v>19370</v>
      </c>
      <c r="B22" s="263" t="s">
        <v>5185</v>
      </c>
      <c r="C22" s="252">
        <v>682863731125</v>
      </c>
      <c r="D22" s="253" t="s">
        <v>1620</v>
      </c>
      <c r="E22" s="254" t="s">
        <v>5187</v>
      </c>
      <c r="F22" s="292">
        <v>45385</v>
      </c>
    </row>
    <row r="23" spans="1:6" s="39" customFormat="1" x14ac:dyDescent="0.3">
      <c r="A23" s="280">
        <v>23553</v>
      </c>
      <c r="B23" s="263" t="s">
        <v>5186</v>
      </c>
      <c r="C23" s="252">
        <v>686461133497</v>
      </c>
      <c r="D23" s="253" t="s">
        <v>1620</v>
      </c>
      <c r="E23" s="254" t="s">
        <v>5187</v>
      </c>
      <c r="F23" s="292">
        <v>45385</v>
      </c>
    </row>
    <row r="24" spans="1:6" s="39" customFormat="1" x14ac:dyDescent="0.3">
      <c r="A24" s="280">
        <v>15878</v>
      </c>
      <c r="B24" s="263" t="s">
        <v>5177</v>
      </c>
      <c r="C24" s="252" t="str">
        <f>"627843540557"</f>
        <v>627843540557</v>
      </c>
      <c r="D24" s="253" t="s">
        <v>25</v>
      </c>
      <c r="E24" s="254" t="s">
        <v>3367</v>
      </c>
      <c r="F24" s="292">
        <v>45372</v>
      </c>
    </row>
    <row r="25" spans="1:6" s="39" customFormat="1" x14ac:dyDescent="0.3">
      <c r="A25" s="280">
        <v>21461</v>
      </c>
      <c r="B25" s="263" t="s">
        <v>5178</v>
      </c>
      <c r="C25" s="252" t="str">
        <f>"742776732609"</f>
        <v>742776732609</v>
      </c>
      <c r="D25" s="253" t="s">
        <v>25</v>
      </c>
      <c r="E25" s="254" t="s">
        <v>3367</v>
      </c>
      <c r="F25" s="292">
        <v>45372</v>
      </c>
    </row>
    <row r="26" spans="1:6" s="39" customFormat="1" x14ac:dyDescent="0.3">
      <c r="A26" s="280">
        <v>21640</v>
      </c>
      <c r="B26" s="263" t="s">
        <v>5179</v>
      </c>
      <c r="C26" s="252" t="str">
        <f>"627843540533"</f>
        <v>627843540533</v>
      </c>
      <c r="D26" s="253" t="s">
        <v>25</v>
      </c>
      <c r="E26" s="254" t="s">
        <v>3367</v>
      </c>
      <c r="F26" s="292">
        <v>45372</v>
      </c>
    </row>
    <row r="27" spans="1:6" s="39" customFormat="1" x14ac:dyDescent="0.3">
      <c r="A27" s="280">
        <v>24564</v>
      </c>
      <c r="B27" s="263" t="s">
        <v>5180</v>
      </c>
      <c r="C27" s="252" t="str">
        <f>"742776732708"</f>
        <v>742776732708</v>
      </c>
      <c r="D27" s="253" t="s">
        <v>25</v>
      </c>
      <c r="E27" s="254" t="s">
        <v>3367</v>
      </c>
      <c r="F27" s="292">
        <v>45372</v>
      </c>
    </row>
    <row r="28" spans="1:6" s="39" customFormat="1" x14ac:dyDescent="0.3">
      <c r="A28" s="280">
        <v>31669</v>
      </c>
      <c r="B28" s="263" t="s">
        <v>5181</v>
      </c>
      <c r="C28" s="252" t="str">
        <f>"742776732692"</f>
        <v>742776732692</v>
      </c>
      <c r="D28" s="253" t="s">
        <v>25</v>
      </c>
      <c r="E28" s="254" t="s">
        <v>3367</v>
      </c>
      <c r="F28" s="292">
        <v>45372</v>
      </c>
    </row>
    <row r="29" spans="1:6" s="39" customFormat="1" x14ac:dyDescent="0.3">
      <c r="A29" s="280">
        <v>139246</v>
      </c>
      <c r="B29" s="263" t="s">
        <v>5182</v>
      </c>
      <c r="C29" s="252" t="str">
        <f>"627843540540"</f>
        <v>627843540540</v>
      </c>
      <c r="D29" s="253" t="s">
        <v>25</v>
      </c>
      <c r="E29" s="254" t="s">
        <v>3367</v>
      </c>
      <c r="F29" s="292">
        <v>45372</v>
      </c>
    </row>
    <row r="30" spans="1:6" s="39" customFormat="1" x14ac:dyDescent="0.3">
      <c r="A30" s="280">
        <v>461756</v>
      </c>
      <c r="B30" s="263" t="s">
        <v>5183</v>
      </c>
      <c r="C30" s="252" t="str">
        <f>"627843540519"</f>
        <v>627843540519</v>
      </c>
      <c r="D30" s="253" t="s">
        <v>25</v>
      </c>
      <c r="E30" s="254" t="s">
        <v>3367</v>
      </c>
      <c r="F30" s="292">
        <v>45372</v>
      </c>
    </row>
    <row r="31" spans="1:6" s="39" customFormat="1" x14ac:dyDescent="0.3">
      <c r="A31" s="280">
        <v>32710</v>
      </c>
      <c r="B31" s="263" t="s">
        <v>5184</v>
      </c>
      <c r="C31" s="252" t="str">
        <f>"056910804733"</f>
        <v>056910804733</v>
      </c>
      <c r="D31" s="253" t="s">
        <v>25</v>
      </c>
      <c r="E31" s="254" t="s">
        <v>3367</v>
      </c>
      <c r="F31" s="292">
        <v>45391</v>
      </c>
    </row>
    <row r="32" spans="1:6" s="39" customFormat="1" x14ac:dyDescent="0.3">
      <c r="A32" s="280">
        <v>33058</v>
      </c>
      <c r="B32" s="263" t="s">
        <v>5173</v>
      </c>
      <c r="C32" s="252">
        <v>8414837341229</v>
      </c>
      <c r="D32" s="253" t="s">
        <v>496</v>
      </c>
      <c r="E32" s="254" t="s">
        <v>3367</v>
      </c>
      <c r="F32" s="292">
        <v>45370</v>
      </c>
    </row>
    <row r="33" spans="1:6" s="39" customFormat="1" x14ac:dyDescent="0.3">
      <c r="A33" s="280">
        <v>35473</v>
      </c>
      <c r="B33" s="263" t="s">
        <v>5174</v>
      </c>
      <c r="C33" s="252" t="s">
        <v>5175</v>
      </c>
      <c r="D33" s="253" t="s">
        <v>5176</v>
      </c>
      <c r="E33" s="254" t="s">
        <v>3367</v>
      </c>
      <c r="F33" s="292">
        <v>45370</v>
      </c>
    </row>
    <row r="34" spans="1:6" s="39" customFormat="1" x14ac:dyDescent="0.3">
      <c r="A34" s="280">
        <v>564674</v>
      </c>
      <c r="B34" s="263" t="s">
        <v>5171</v>
      </c>
      <c r="C34" s="252">
        <v>8002062008132</v>
      </c>
      <c r="D34" s="253" t="s">
        <v>202</v>
      </c>
      <c r="E34" s="260" t="s">
        <v>5172</v>
      </c>
      <c r="F34" s="292">
        <v>45385</v>
      </c>
    </row>
    <row r="35" spans="1:6" s="39" customFormat="1" x14ac:dyDescent="0.3">
      <c r="A35" s="280">
        <v>12737</v>
      </c>
      <c r="B35" s="263" t="s">
        <v>5167</v>
      </c>
      <c r="C35" s="252" t="str">
        <f>"0702915000525"</f>
        <v>0702915000525</v>
      </c>
      <c r="D35" s="253" t="s">
        <v>25</v>
      </c>
      <c r="E35" s="254" t="s">
        <v>3367</v>
      </c>
      <c r="F35" s="292">
        <v>45391</v>
      </c>
    </row>
    <row r="36" spans="1:6" s="39" customFormat="1" x14ac:dyDescent="0.3">
      <c r="A36" s="280">
        <v>16473</v>
      </c>
      <c r="B36" s="263" t="s">
        <v>5168</v>
      </c>
      <c r="C36" s="252" t="str">
        <f>"0702915000563"</f>
        <v>0702915000563</v>
      </c>
      <c r="D36" s="253" t="s">
        <v>25</v>
      </c>
      <c r="E36" s="254" t="s">
        <v>3367</v>
      </c>
      <c r="F36" s="292">
        <v>45391</v>
      </c>
    </row>
    <row r="37" spans="1:6" s="39" customFormat="1" x14ac:dyDescent="0.3">
      <c r="A37" s="280">
        <v>19268</v>
      </c>
      <c r="B37" s="263" t="s">
        <v>2400</v>
      </c>
      <c r="C37" s="252" t="str">
        <f>"672975229603"</f>
        <v>672975229603</v>
      </c>
      <c r="D37" s="253" t="s">
        <v>25</v>
      </c>
      <c r="E37" s="254" t="s">
        <v>3367</v>
      </c>
      <c r="F37" s="292">
        <v>45391</v>
      </c>
    </row>
    <row r="38" spans="1:6" s="39" customFormat="1" ht="27.95" x14ac:dyDescent="0.3">
      <c r="A38" s="280">
        <v>245852</v>
      </c>
      <c r="B38" s="263" t="s">
        <v>5169</v>
      </c>
      <c r="C38" s="252" t="str">
        <f>"072890004420"</f>
        <v>072890004420</v>
      </c>
      <c r="D38" s="253" t="s">
        <v>294</v>
      </c>
      <c r="E38" s="254" t="s">
        <v>5170</v>
      </c>
      <c r="F38" s="292">
        <v>45391</v>
      </c>
    </row>
    <row r="39" spans="1:6" s="39" customFormat="1" x14ac:dyDescent="0.3">
      <c r="A39" s="280">
        <v>31488</v>
      </c>
      <c r="B39" s="263" t="s">
        <v>5166</v>
      </c>
      <c r="C39" s="252">
        <v>9414603413456</v>
      </c>
      <c r="D39" s="253" t="s">
        <v>202</v>
      </c>
      <c r="E39" s="254" t="s">
        <v>3367</v>
      </c>
      <c r="F39" s="292">
        <v>45363</v>
      </c>
    </row>
    <row r="40" spans="1:6" s="39" customFormat="1" ht="27.95" x14ac:dyDescent="0.3">
      <c r="A40" s="280">
        <v>407668</v>
      </c>
      <c r="B40" s="263" t="s">
        <v>168</v>
      </c>
      <c r="C40" s="252" t="str">
        <f>"779315380007"</f>
        <v>779315380007</v>
      </c>
      <c r="D40" s="253" t="s">
        <v>25</v>
      </c>
      <c r="E40" s="260" t="s">
        <v>5165</v>
      </c>
      <c r="F40" s="292">
        <v>45385</v>
      </c>
    </row>
    <row r="41" spans="1:6" s="39" customFormat="1" x14ac:dyDescent="0.3">
      <c r="A41" s="280">
        <v>573972</v>
      </c>
      <c r="B41" s="263" t="s">
        <v>5164</v>
      </c>
      <c r="C41" s="252" t="str">
        <f>"3080216049182"</f>
        <v>3080216049182</v>
      </c>
      <c r="D41" s="253" t="s">
        <v>29</v>
      </c>
      <c r="E41" s="260" t="s">
        <v>3367</v>
      </c>
      <c r="F41" s="292">
        <v>45385</v>
      </c>
    </row>
    <row r="42" spans="1:6" s="39" customFormat="1" ht="27.95" x14ac:dyDescent="0.3">
      <c r="A42" s="280">
        <v>28741</v>
      </c>
      <c r="B42" s="263" t="s">
        <v>4570</v>
      </c>
      <c r="C42" s="252" t="str">
        <f>"628669093791"</f>
        <v>628669093791</v>
      </c>
      <c r="D42" s="253" t="s">
        <v>25</v>
      </c>
      <c r="E42" s="260" t="s">
        <v>5163</v>
      </c>
      <c r="F42" s="292">
        <v>45359</v>
      </c>
    </row>
    <row r="43" spans="1:6" s="39" customFormat="1" x14ac:dyDescent="0.3">
      <c r="A43" s="280">
        <v>32043</v>
      </c>
      <c r="B43" s="263" t="s">
        <v>5160</v>
      </c>
      <c r="C43" s="252" t="str">
        <f>"628504954171"</f>
        <v>628504954171</v>
      </c>
      <c r="D43" s="253" t="s">
        <v>25</v>
      </c>
      <c r="E43" s="260" t="s">
        <v>3367</v>
      </c>
      <c r="F43" s="292">
        <v>45377</v>
      </c>
    </row>
    <row r="44" spans="1:6" s="39" customFormat="1" ht="27.95" x14ac:dyDescent="0.3">
      <c r="A44" s="280">
        <v>37834</v>
      </c>
      <c r="B44" s="263" t="s">
        <v>5161</v>
      </c>
      <c r="C44" s="252" t="str">
        <f>"628055459675"</f>
        <v>628055459675</v>
      </c>
      <c r="D44" s="253" t="s">
        <v>25</v>
      </c>
      <c r="E44" s="260" t="s">
        <v>5162</v>
      </c>
      <c r="F44" s="292">
        <v>45377</v>
      </c>
    </row>
    <row r="45" spans="1:6" s="39" customFormat="1" x14ac:dyDescent="0.3">
      <c r="A45" s="280">
        <v>36709</v>
      </c>
      <c r="B45" s="263" t="s">
        <v>5159</v>
      </c>
      <c r="C45" s="252" t="str">
        <f>"793888278271"</f>
        <v>793888278271</v>
      </c>
      <c r="D45" s="253" t="s">
        <v>25</v>
      </c>
      <c r="E45" s="260" t="s">
        <v>3367</v>
      </c>
      <c r="F45" s="292">
        <v>45377</v>
      </c>
    </row>
    <row r="46" spans="1:6" s="39" customFormat="1" x14ac:dyDescent="0.3">
      <c r="A46" s="280">
        <v>37301</v>
      </c>
      <c r="B46" s="263" t="s">
        <v>5157</v>
      </c>
      <c r="C46" s="252" t="str">
        <f>"056327023963"</f>
        <v>056327023963</v>
      </c>
      <c r="D46" s="253" t="s">
        <v>98</v>
      </c>
      <c r="E46" s="260" t="s">
        <v>5158</v>
      </c>
      <c r="F46" s="292">
        <v>45356</v>
      </c>
    </row>
    <row r="47" spans="1:6" s="39" customFormat="1" x14ac:dyDescent="0.3">
      <c r="A47" s="280">
        <v>620773</v>
      </c>
      <c r="B47" s="263" t="s">
        <v>5155</v>
      </c>
      <c r="C47" s="252">
        <v>8002062001652</v>
      </c>
      <c r="D47" s="253" t="s">
        <v>202</v>
      </c>
      <c r="E47" s="260" t="s">
        <v>5156</v>
      </c>
      <c r="F47" s="292">
        <v>45370</v>
      </c>
    </row>
    <row r="48" spans="1:6" s="39" customFormat="1" x14ac:dyDescent="0.3">
      <c r="A48" s="290">
        <v>11953</v>
      </c>
      <c r="B48" s="294" t="s">
        <v>5154</v>
      </c>
      <c r="C48" s="270">
        <v>893996000013</v>
      </c>
      <c r="D48" s="272" t="s">
        <v>202</v>
      </c>
      <c r="E48" s="254" t="s">
        <v>3367</v>
      </c>
      <c r="F48" s="292">
        <v>45357</v>
      </c>
    </row>
    <row r="49" spans="1:6" s="39" customFormat="1" x14ac:dyDescent="0.3">
      <c r="A49" s="290">
        <v>17035</v>
      </c>
      <c r="B49" s="294" t="s">
        <v>5153</v>
      </c>
      <c r="C49" s="270" t="str">
        <f>"710168065048"</f>
        <v>710168065048</v>
      </c>
      <c r="D49" s="272" t="s">
        <v>285</v>
      </c>
      <c r="E49" s="254" t="s">
        <v>3367</v>
      </c>
      <c r="F49" s="292">
        <v>45377</v>
      </c>
    </row>
    <row r="50" spans="1:6" s="39" customFormat="1" x14ac:dyDescent="0.3">
      <c r="A50" s="290">
        <v>37883</v>
      </c>
      <c r="B50" s="294" t="s">
        <v>5149</v>
      </c>
      <c r="C50" s="270" t="str">
        <f>"627987332803"</f>
        <v>627987332803</v>
      </c>
      <c r="D50" s="272" t="s">
        <v>25</v>
      </c>
      <c r="E50" s="254" t="s">
        <v>5152</v>
      </c>
      <c r="F50" s="292">
        <v>45350</v>
      </c>
    </row>
    <row r="51" spans="1:6" s="39" customFormat="1" x14ac:dyDescent="0.3">
      <c r="A51" s="290">
        <v>37884</v>
      </c>
      <c r="B51" s="294" t="s">
        <v>5150</v>
      </c>
      <c r="C51" s="270" t="str">
        <f>"627987332810"</f>
        <v>627987332810</v>
      </c>
      <c r="D51" s="272" t="s">
        <v>25</v>
      </c>
      <c r="E51" s="254" t="s">
        <v>5152</v>
      </c>
      <c r="F51" s="292">
        <v>45350</v>
      </c>
    </row>
    <row r="52" spans="1:6" s="39" customFormat="1" x14ac:dyDescent="0.3">
      <c r="A52" s="290">
        <v>37900</v>
      </c>
      <c r="B52" s="294" t="s">
        <v>5151</v>
      </c>
      <c r="C52" s="270" t="str">
        <f>"627987332780"</f>
        <v>627987332780</v>
      </c>
      <c r="D52" s="272" t="s">
        <v>25</v>
      </c>
      <c r="E52" s="254" t="s">
        <v>5152</v>
      </c>
      <c r="F52" s="292">
        <v>45350</v>
      </c>
    </row>
    <row r="53" spans="1:6" s="39" customFormat="1" ht="27.95" x14ac:dyDescent="0.3">
      <c r="A53" s="303">
        <v>37099</v>
      </c>
      <c r="B53" s="304" t="s">
        <v>5117</v>
      </c>
      <c r="C53" s="305" t="str">
        <f>"5741000460023"</f>
        <v>5741000460023</v>
      </c>
      <c r="D53" s="306" t="s">
        <v>25</v>
      </c>
      <c r="E53" s="295" t="s">
        <v>5148</v>
      </c>
      <c r="F53" s="307">
        <v>45356</v>
      </c>
    </row>
    <row r="54" spans="1:6" s="39" customFormat="1" ht="27.95" x14ac:dyDescent="0.3">
      <c r="A54" s="303">
        <v>37102</v>
      </c>
      <c r="B54" s="304" t="s">
        <v>5118</v>
      </c>
      <c r="C54" s="305" t="str">
        <f>"5741000500057"</f>
        <v>5741000500057</v>
      </c>
      <c r="D54" s="306" t="s">
        <v>25</v>
      </c>
      <c r="E54" s="295" t="s">
        <v>5148</v>
      </c>
      <c r="F54" s="307">
        <v>45356</v>
      </c>
    </row>
    <row r="55" spans="1:6" s="39" customFormat="1" ht="14" customHeight="1" x14ac:dyDescent="0.3">
      <c r="A55" s="290">
        <v>114124</v>
      </c>
      <c r="B55" s="294" t="s">
        <v>5146</v>
      </c>
      <c r="C55" s="270" t="str">
        <f>"9007600304515"</f>
        <v>9007600304515</v>
      </c>
      <c r="D55" s="272" t="s">
        <v>48</v>
      </c>
      <c r="E55" s="254" t="s">
        <v>3367</v>
      </c>
      <c r="F55" s="292">
        <v>45370</v>
      </c>
    </row>
    <row r="56" spans="1:6" s="39" customFormat="1" ht="14" customHeight="1" x14ac:dyDescent="0.3">
      <c r="A56" s="290">
        <v>456004</v>
      </c>
      <c r="B56" s="294" t="s">
        <v>5147</v>
      </c>
      <c r="C56" s="270" t="str">
        <f>"9007600303303"</f>
        <v>9007600303303</v>
      </c>
      <c r="D56" s="272" t="s">
        <v>48</v>
      </c>
      <c r="E56" s="254" t="s">
        <v>3367</v>
      </c>
      <c r="F56" s="292">
        <v>45370</v>
      </c>
    </row>
    <row r="57" spans="1:6" s="39" customFormat="1" ht="14" customHeight="1" x14ac:dyDescent="0.3">
      <c r="A57" s="290">
        <v>462853</v>
      </c>
      <c r="B57" s="294" t="s">
        <v>5140</v>
      </c>
      <c r="C57" s="270" t="s">
        <v>5145</v>
      </c>
      <c r="D57" s="272" t="s">
        <v>202</v>
      </c>
      <c r="E57" s="254" t="s">
        <v>3367</v>
      </c>
      <c r="F57" s="292">
        <v>45363</v>
      </c>
    </row>
    <row r="58" spans="1:6" s="39" customFormat="1" ht="14" customHeight="1" x14ac:dyDescent="0.3">
      <c r="A58" s="290">
        <v>15762</v>
      </c>
      <c r="B58" s="294" t="s">
        <v>5141</v>
      </c>
      <c r="C58" s="270" t="s">
        <v>5144</v>
      </c>
      <c r="D58" s="272" t="s">
        <v>202</v>
      </c>
      <c r="E58" s="254" t="s">
        <v>3367</v>
      </c>
      <c r="F58" s="292">
        <v>45363</v>
      </c>
    </row>
    <row r="59" spans="1:6" s="39" customFormat="1" x14ac:dyDescent="0.3">
      <c r="A59" s="290">
        <v>216952</v>
      </c>
      <c r="B59" s="294" t="s">
        <v>5142</v>
      </c>
      <c r="C59" s="270" t="s">
        <v>5143</v>
      </c>
      <c r="D59" s="272" t="s">
        <v>202</v>
      </c>
      <c r="E59" s="254" t="s">
        <v>3367</v>
      </c>
      <c r="F59" s="292">
        <v>45363</v>
      </c>
    </row>
    <row r="60" spans="1:6" s="39" customFormat="1" x14ac:dyDescent="0.3">
      <c r="A60" s="290">
        <v>221499</v>
      </c>
      <c r="B60" s="294" t="s">
        <v>5139</v>
      </c>
      <c r="C60" s="270">
        <v>8001660126774</v>
      </c>
      <c r="D60" s="272" t="s">
        <v>202</v>
      </c>
      <c r="E60" s="254" t="s">
        <v>3367</v>
      </c>
      <c r="F60" s="292">
        <v>45363</v>
      </c>
    </row>
    <row r="61" spans="1:6" s="39" customFormat="1" x14ac:dyDescent="0.3">
      <c r="A61" s="290">
        <v>21523</v>
      </c>
      <c r="B61" s="294" t="s">
        <v>5138</v>
      </c>
      <c r="C61" s="270" t="s">
        <v>5137</v>
      </c>
      <c r="D61" s="272" t="s">
        <v>202</v>
      </c>
      <c r="E61" s="254" t="s">
        <v>3367</v>
      </c>
      <c r="F61" s="292">
        <v>45363</v>
      </c>
    </row>
    <row r="62" spans="1:6" s="39" customFormat="1" x14ac:dyDescent="0.3">
      <c r="A62" s="290">
        <v>326975</v>
      </c>
      <c r="B62" s="294" t="s">
        <v>3566</v>
      </c>
      <c r="C62" s="270">
        <v>689076790048</v>
      </c>
      <c r="D62" s="272" t="s">
        <v>202</v>
      </c>
      <c r="E62" s="302" t="s">
        <v>5136</v>
      </c>
      <c r="F62" s="292">
        <v>45349</v>
      </c>
    </row>
    <row r="63" spans="1:6" s="39" customFormat="1" x14ac:dyDescent="0.3">
      <c r="A63" s="290">
        <v>546135</v>
      </c>
      <c r="B63" s="294" t="s">
        <v>5134</v>
      </c>
      <c r="C63" s="270" t="str">
        <f>"627843472544"</f>
        <v>627843472544</v>
      </c>
      <c r="D63" s="272" t="s">
        <v>25</v>
      </c>
      <c r="E63" s="254" t="s">
        <v>3367</v>
      </c>
      <c r="F63" s="292">
        <v>45370</v>
      </c>
    </row>
    <row r="64" spans="1:6" s="39" customFormat="1" x14ac:dyDescent="0.3">
      <c r="A64" s="290">
        <v>548701</v>
      </c>
      <c r="B64" s="294" t="s">
        <v>5135</v>
      </c>
      <c r="C64" s="270" t="str">
        <f>"627843472537"</f>
        <v>627843472537</v>
      </c>
      <c r="D64" s="272" t="s">
        <v>25</v>
      </c>
      <c r="E64" s="254" t="s">
        <v>3367</v>
      </c>
      <c r="F64" s="292">
        <v>45370</v>
      </c>
    </row>
    <row r="65" spans="1:6" s="39" customFormat="1" x14ac:dyDescent="0.3">
      <c r="A65" s="290">
        <v>15250</v>
      </c>
      <c r="B65" s="294" t="s">
        <v>2808</v>
      </c>
      <c r="C65" s="270" t="str">
        <f>"062067317354"</f>
        <v>062067317354</v>
      </c>
      <c r="D65" s="272" t="s">
        <v>25</v>
      </c>
      <c r="E65" s="254" t="s">
        <v>5132</v>
      </c>
      <c r="F65" s="292">
        <v>45398</v>
      </c>
    </row>
    <row r="66" spans="1:6" s="39" customFormat="1" ht="27.95" x14ac:dyDescent="0.3">
      <c r="A66" s="290">
        <v>15256</v>
      </c>
      <c r="B66" s="294" t="s">
        <v>4533</v>
      </c>
      <c r="C66" s="270" t="str">
        <f>"062067380631"</f>
        <v>062067380631</v>
      </c>
      <c r="D66" s="272" t="s">
        <v>98</v>
      </c>
      <c r="E66" s="254" t="s">
        <v>5131</v>
      </c>
      <c r="F66" s="292">
        <v>45405</v>
      </c>
    </row>
    <row r="67" spans="1:6" s="39" customFormat="1" x14ac:dyDescent="0.3">
      <c r="A67" s="290">
        <v>37979</v>
      </c>
      <c r="B67" s="294" t="s">
        <v>5130</v>
      </c>
      <c r="C67" s="270" t="str">
        <f>"644216909278"</f>
        <v>644216909278</v>
      </c>
      <c r="D67" s="272" t="s">
        <v>48</v>
      </c>
      <c r="E67" s="254" t="s">
        <v>5133</v>
      </c>
      <c r="F67" s="292">
        <v>45370</v>
      </c>
    </row>
    <row r="68" spans="1:6" s="39" customFormat="1" x14ac:dyDescent="0.3">
      <c r="A68" s="290">
        <v>22023</v>
      </c>
      <c r="B68" s="294" t="s">
        <v>5128</v>
      </c>
      <c r="C68" s="270">
        <v>3080216024806</v>
      </c>
      <c r="D68" s="272" t="s">
        <v>127</v>
      </c>
      <c r="E68" s="254" t="s">
        <v>3367</v>
      </c>
      <c r="F68" s="292">
        <v>45394</v>
      </c>
    </row>
    <row r="69" spans="1:6" s="39" customFormat="1" x14ac:dyDescent="0.3">
      <c r="A69" s="290">
        <v>506741</v>
      </c>
      <c r="B69" s="294" t="s">
        <v>5129</v>
      </c>
      <c r="C69" s="270">
        <v>3080210004491</v>
      </c>
      <c r="D69" s="272" t="s">
        <v>48</v>
      </c>
      <c r="E69" s="254" t="s">
        <v>3367</v>
      </c>
      <c r="F69" s="292">
        <v>45394</v>
      </c>
    </row>
    <row r="70" spans="1:6" s="39" customFormat="1" x14ac:dyDescent="0.3">
      <c r="A70" s="290">
        <v>478495</v>
      </c>
      <c r="B70" s="294" t="s">
        <v>5124</v>
      </c>
      <c r="C70" s="270" t="str">
        <f>"627843373827"</f>
        <v>627843373827</v>
      </c>
      <c r="D70" s="272" t="s">
        <v>25</v>
      </c>
      <c r="E70" s="254" t="s">
        <v>3367</v>
      </c>
      <c r="F70" s="292">
        <v>45356</v>
      </c>
    </row>
    <row r="71" spans="1:6" s="39" customFormat="1" x14ac:dyDescent="0.3">
      <c r="A71" s="290">
        <v>625236</v>
      </c>
      <c r="B71" s="294" t="s">
        <v>5125</v>
      </c>
      <c r="C71" s="270" t="str">
        <f>"627843374121"</f>
        <v>627843374121</v>
      </c>
      <c r="D71" s="272" t="s">
        <v>25</v>
      </c>
      <c r="E71" s="254" t="s">
        <v>3367</v>
      </c>
      <c r="F71" s="292">
        <v>45356</v>
      </c>
    </row>
    <row r="72" spans="1:6" s="39" customFormat="1" x14ac:dyDescent="0.3">
      <c r="A72" s="290">
        <v>19966</v>
      </c>
      <c r="B72" s="294" t="s">
        <v>5126</v>
      </c>
      <c r="C72" s="270" t="str">
        <f>"627843374312"</f>
        <v>627843374312</v>
      </c>
      <c r="D72" s="272" t="s">
        <v>25</v>
      </c>
      <c r="E72" s="254" t="s">
        <v>3367</v>
      </c>
      <c r="F72" s="292">
        <v>45339</v>
      </c>
    </row>
    <row r="73" spans="1:6" s="39" customFormat="1" x14ac:dyDescent="0.3">
      <c r="A73" s="290">
        <v>31741</v>
      </c>
      <c r="B73" s="294" t="s">
        <v>5127</v>
      </c>
      <c r="C73" s="270" t="str">
        <f>"062067459542"</f>
        <v>062067459542</v>
      </c>
      <c r="D73" s="272" t="s">
        <v>25</v>
      </c>
      <c r="E73" s="254" t="s">
        <v>3367</v>
      </c>
      <c r="F73" s="292">
        <v>45339</v>
      </c>
    </row>
    <row r="74" spans="1:6" s="39" customFormat="1" ht="27.95" x14ac:dyDescent="0.3">
      <c r="A74" s="290">
        <v>18331</v>
      </c>
      <c r="B74" s="294" t="s">
        <v>5120</v>
      </c>
      <c r="C74" s="270" t="str">
        <f>"627843243557"</f>
        <v>627843243557</v>
      </c>
      <c r="D74" s="272" t="s">
        <v>25</v>
      </c>
      <c r="E74" s="254" t="s">
        <v>5121</v>
      </c>
      <c r="F74" s="292">
        <v>45363</v>
      </c>
    </row>
    <row r="75" spans="1:6" s="39" customFormat="1" x14ac:dyDescent="0.3">
      <c r="A75" s="290">
        <v>31711</v>
      </c>
      <c r="B75" s="294" t="s">
        <v>5122</v>
      </c>
      <c r="C75" s="270" t="str">
        <f>"0628451939924"</f>
        <v>0628451939924</v>
      </c>
      <c r="D75" s="272" t="s">
        <v>25</v>
      </c>
      <c r="E75" s="254" t="s">
        <v>3367</v>
      </c>
      <c r="F75" s="292">
        <v>45363</v>
      </c>
    </row>
    <row r="76" spans="1:6" s="39" customFormat="1" x14ac:dyDescent="0.3">
      <c r="A76" s="290">
        <v>31763</v>
      </c>
      <c r="B76" s="294" t="s">
        <v>5123</v>
      </c>
      <c r="C76" s="270" t="str">
        <f>"0628451939931"</f>
        <v>0628451939931</v>
      </c>
      <c r="D76" s="272" t="s">
        <v>25</v>
      </c>
      <c r="E76" s="254" t="s">
        <v>3367</v>
      </c>
      <c r="F76" s="292">
        <v>45363</v>
      </c>
    </row>
    <row r="77" spans="1:6" s="39" customFormat="1" x14ac:dyDescent="0.3">
      <c r="A77" s="290">
        <v>24567</v>
      </c>
      <c r="B77" s="294" t="s">
        <v>5103</v>
      </c>
      <c r="C77" s="270" t="str">
        <f>"627987640762"</f>
        <v>627987640762</v>
      </c>
      <c r="D77" s="272" t="s">
        <v>1620</v>
      </c>
      <c r="E77" s="254" t="s">
        <v>3367</v>
      </c>
      <c r="F77" s="292">
        <v>45356</v>
      </c>
    </row>
    <row r="78" spans="1:6" s="39" customFormat="1" x14ac:dyDescent="0.3">
      <c r="A78" s="290">
        <v>470898</v>
      </c>
      <c r="B78" s="294" t="s">
        <v>2547</v>
      </c>
      <c r="C78" s="270" t="str">
        <f>"837763000066"</f>
        <v>837763000066</v>
      </c>
      <c r="D78" s="272" t="s">
        <v>48</v>
      </c>
      <c r="E78" s="254" t="s">
        <v>3367</v>
      </c>
      <c r="F78" s="292">
        <v>45356</v>
      </c>
    </row>
    <row r="79" spans="1:6" s="39" customFormat="1" x14ac:dyDescent="0.3">
      <c r="A79" s="290">
        <v>19581</v>
      </c>
      <c r="B79" s="294" t="s">
        <v>5104</v>
      </c>
      <c r="C79" s="270" t="str">
        <f>"855315004997"</f>
        <v>855315004997</v>
      </c>
      <c r="D79" s="272" t="s">
        <v>37</v>
      </c>
      <c r="E79" s="254" t="s">
        <v>5114</v>
      </c>
      <c r="F79" s="292">
        <v>45356</v>
      </c>
    </row>
    <row r="80" spans="1:6" s="39" customFormat="1" x14ac:dyDescent="0.3">
      <c r="A80" s="290">
        <v>19605</v>
      </c>
      <c r="B80" s="294" t="s">
        <v>5105</v>
      </c>
      <c r="C80" s="270" t="str">
        <f>"855315006366"</f>
        <v>855315006366</v>
      </c>
      <c r="D80" s="272" t="s">
        <v>25</v>
      </c>
      <c r="E80" s="254" t="s">
        <v>5114</v>
      </c>
      <c r="F80" s="292">
        <v>45356</v>
      </c>
    </row>
    <row r="81" spans="1:6" s="39" customFormat="1" x14ac:dyDescent="0.3">
      <c r="A81" s="290">
        <v>20068</v>
      </c>
      <c r="B81" s="294" t="s">
        <v>5106</v>
      </c>
      <c r="C81" s="270" t="str">
        <f>"855315006441"</f>
        <v>855315006441</v>
      </c>
      <c r="D81" s="272" t="s">
        <v>25</v>
      </c>
      <c r="E81" s="254" t="s">
        <v>5114</v>
      </c>
      <c r="F81" s="292">
        <v>45356</v>
      </c>
    </row>
    <row r="82" spans="1:6" s="246" customFormat="1" ht="27.95" x14ac:dyDescent="0.3">
      <c r="A82" s="296">
        <v>25076</v>
      </c>
      <c r="B82" s="297" t="s">
        <v>5107</v>
      </c>
      <c r="C82" s="298" t="str">
        <f>"855315006977"</f>
        <v>855315006977</v>
      </c>
      <c r="D82" s="299" t="s">
        <v>25</v>
      </c>
      <c r="E82" s="301" t="s">
        <v>5119</v>
      </c>
      <c r="F82" s="300">
        <v>45339</v>
      </c>
    </row>
    <row r="83" spans="1:6" s="39" customFormat="1" x14ac:dyDescent="0.3">
      <c r="A83" s="290">
        <v>25078</v>
      </c>
      <c r="B83" s="294" t="s">
        <v>5108</v>
      </c>
      <c r="C83" s="270" t="str">
        <f>"855315007042"</f>
        <v>855315007042</v>
      </c>
      <c r="D83" s="272" t="s">
        <v>25</v>
      </c>
      <c r="E83" s="254" t="s">
        <v>5114</v>
      </c>
      <c r="F83" s="292">
        <v>45356</v>
      </c>
    </row>
    <row r="84" spans="1:6" s="39" customFormat="1" x14ac:dyDescent="0.3">
      <c r="A84" s="290">
        <v>32061</v>
      </c>
      <c r="B84" s="294" t="s">
        <v>4702</v>
      </c>
      <c r="C84" s="270" t="str">
        <f>"062067409103"</f>
        <v>062067409103</v>
      </c>
      <c r="D84" s="272" t="s">
        <v>98</v>
      </c>
      <c r="E84" s="254" t="s">
        <v>5114</v>
      </c>
      <c r="F84" s="292">
        <v>45356</v>
      </c>
    </row>
    <row r="85" spans="1:6" s="39" customFormat="1" x14ac:dyDescent="0.3">
      <c r="A85" s="290">
        <v>32062</v>
      </c>
      <c r="B85" s="294" t="s">
        <v>5109</v>
      </c>
      <c r="C85" s="270" t="str">
        <f>"062067401916"</f>
        <v>062067401916</v>
      </c>
      <c r="D85" s="272" t="s">
        <v>25</v>
      </c>
      <c r="E85" s="254" t="s">
        <v>5114</v>
      </c>
      <c r="F85" s="292">
        <v>45356</v>
      </c>
    </row>
    <row r="86" spans="1:6" s="39" customFormat="1" x14ac:dyDescent="0.3">
      <c r="A86" s="290">
        <v>37185</v>
      </c>
      <c r="B86" s="294" t="s">
        <v>5110</v>
      </c>
      <c r="C86" s="270" t="str">
        <f>"062067421990"</f>
        <v>062067421990</v>
      </c>
      <c r="D86" s="272" t="s">
        <v>4722</v>
      </c>
      <c r="E86" s="254" t="s">
        <v>5114</v>
      </c>
      <c r="F86" s="292">
        <v>45356</v>
      </c>
    </row>
    <row r="87" spans="1:6" s="39" customFormat="1" x14ac:dyDescent="0.3">
      <c r="A87" s="290">
        <v>84210</v>
      </c>
      <c r="B87" s="294" t="s">
        <v>5111</v>
      </c>
      <c r="C87" s="270" t="str">
        <f>"855315000128"</f>
        <v>855315000128</v>
      </c>
      <c r="D87" s="272" t="s">
        <v>106</v>
      </c>
      <c r="E87" s="254" t="s">
        <v>5114</v>
      </c>
      <c r="F87" s="292">
        <v>45356</v>
      </c>
    </row>
    <row r="88" spans="1:6" s="39" customFormat="1" x14ac:dyDescent="0.3">
      <c r="A88" s="290">
        <v>247627</v>
      </c>
      <c r="B88" s="294" t="s">
        <v>5104</v>
      </c>
      <c r="C88" s="270" t="str">
        <f>"855315000319"</f>
        <v>855315000319</v>
      </c>
      <c r="D88" s="272" t="s">
        <v>25</v>
      </c>
      <c r="E88" s="254" t="s">
        <v>5114</v>
      </c>
      <c r="F88" s="292">
        <v>45356</v>
      </c>
    </row>
    <row r="89" spans="1:6" s="39" customFormat="1" x14ac:dyDescent="0.3">
      <c r="A89" s="290">
        <v>399162</v>
      </c>
      <c r="B89" s="294" t="s">
        <v>5112</v>
      </c>
      <c r="C89" s="270" t="str">
        <f>"855315000814"</f>
        <v>855315000814</v>
      </c>
      <c r="D89" s="272" t="s">
        <v>25</v>
      </c>
      <c r="E89" s="254" t="s">
        <v>5114</v>
      </c>
      <c r="F89" s="292">
        <v>45356</v>
      </c>
    </row>
    <row r="90" spans="1:6" s="39" customFormat="1" x14ac:dyDescent="0.3">
      <c r="A90" s="290">
        <v>413765</v>
      </c>
      <c r="B90" s="294" t="s">
        <v>5113</v>
      </c>
      <c r="C90" s="270" t="str">
        <f>"855315001095"</f>
        <v>855315001095</v>
      </c>
      <c r="D90" s="272" t="s">
        <v>25</v>
      </c>
      <c r="E90" s="254" t="s">
        <v>5114</v>
      </c>
      <c r="F90" s="292">
        <v>45356</v>
      </c>
    </row>
    <row r="91" spans="1:6" s="39" customFormat="1" x14ac:dyDescent="0.3">
      <c r="A91" s="290">
        <v>516880</v>
      </c>
      <c r="B91" s="294" t="s">
        <v>4534</v>
      </c>
      <c r="C91" s="270" t="str">
        <f>"855315003013"</f>
        <v>855315003013</v>
      </c>
      <c r="D91" s="272" t="s">
        <v>98</v>
      </c>
      <c r="E91" s="254" t="s">
        <v>5114</v>
      </c>
      <c r="F91" s="292">
        <v>45356</v>
      </c>
    </row>
    <row r="92" spans="1:6" s="39" customFormat="1" x14ac:dyDescent="0.3">
      <c r="A92" s="290">
        <v>394015</v>
      </c>
      <c r="B92" s="294" t="s">
        <v>722</v>
      </c>
      <c r="C92" s="270" t="str">
        <f>"627843373773"</f>
        <v>627843373773</v>
      </c>
      <c r="D92" s="272" t="s">
        <v>25</v>
      </c>
      <c r="E92" s="254" t="s">
        <v>5116</v>
      </c>
      <c r="F92" s="292">
        <v>45356</v>
      </c>
    </row>
    <row r="93" spans="1:6" s="39" customFormat="1" x14ac:dyDescent="0.3">
      <c r="A93" s="290">
        <v>413807</v>
      </c>
      <c r="B93" s="294" t="s">
        <v>725</v>
      </c>
      <c r="C93" s="270" t="str">
        <f>"627843373780"</f>
        <v>627843373780</v>
      </c>
      <c r="D93" s="272" t="s">
        <v>25</v>
      </c>
      <c r="E93" s="254" t="s">
        <v>5116</v>
      </c>
      <c r="F93" s="292">
        <v>45356</v>
      </c>
    </row>
    <row r="94" spans="1:6" s="39" customFormat="1" x14ac:dyDescent="0.3">
      <c r="A94" s="290">
        <v>697318</v>
      </c>
      <c r="B94" s="294" t="s">
        <v>5115</v>
      </c>
      <c r="C94" s="270" t="str">
        <f>"627843374220"</f>
        <v>627843374220</v>
      </c>
      <c r="D94" s="272" t="s">
        <v>98</v>
      </c>
      <c r="E94" s="254" t="s">
        <v>5116</v>
      </c>
      <c r="F94" s="292">
        <v>45356</v>
      </c>
    </row>
    <row r="95" spans="1:6" s="39" customFormat="1" x14ac:dyDescent="0.3">
      <c r="A95" s="290">
        <v>447441</v>
      </c>
      <c r="B95" s="294" t="s">
        <v>5102</v>
      </c>
      <c r="C95" s="270">
        <v>779334474411</v>
      </c>
      <c r="D95" s="272" t="s">
        <v>137</v>
      </c>
      <c r="E95" s="254" t="s">
        <v>3367</v>
      </c>
      <c r="F95" s="292">
        <v>45335</v>
      </c>
    </row>
    <row r="96" spans="1:6" s="39" customFormat="1" x14ac:dyDescent="0.3">
      <c r="A96" s="290">
        <v>10559</v>
      </c>
      <c r="B96" s="294" t="s">
        <v>4352</v>
      </c>
      <c r="C96" s="270">
        <v>626824180058</v>
      </c>
      <c r="D96" s="253" t="s">
        <v>4353</v>
      </c>
      <c r="E96" s="254" t="s">
        <v>3367</v>
      </c>
      <c r="F96" s="292">
        <v>45331</v>
      </c>
    </row>
    <row r="97" spans="1:6" s="39" customFormat="1" x14ac:dyDescent="0.3">
      <c r="A97" s="290">
        <v>14952</v>
      </c>
      <c r="B97" s="294" t="s">
        <v>4354</v>
      </c>
      <c r="C97" s="270">
        <v>626824190033</v>
      </c>
      <c r="D97" s="253" t="s">
        <v>25</v>
      </c>
      <c r="E97" s="254" t="s">
        <v>3367</v>
      </c>
      <c r="F97" s="292">
        <v>45331</v>
      </c>
    </row>
    <row r="98" spans="1:6" s="39" customFormat="1" x14ac:dyDescent="0.3">
      <c r="A98" s="290">
        <v>24668</v>
      </c>
      <c r="B98" s="294" t="s">
        <v>4359</v>
      </c>
      <c r="C98" s="270">
        <v>626824220037</v>
      </c>
      <c r="D98" s="253" t="s">
        <v>124</v>
      </c>
      <c r="E98" s="254" t="s">
        <v>3367</v>
      </c>
      <c r="F98" s="292">
        <v>45331</v>
      </c>
    </row>
    <row r="99" spans="1:6" s="39" customFormat="1" x14ac:dyDescent="0.3">
      <c r="A99" s="290">
        <v>35806</v>
      </c>
      <c r="B99" s="294" t="s">
        <v>5100</v>
      </c>
      <c r="C99" s="270">
        <v>626824230067</v>
      </c>
      <c r="D99" s="253" t="s">
        <v>124</v>
      </c>
      <c r="E99" s="254" t="s">
        <v>3367</v>
      </c>
      <c r="F99" s="292">
        <v>45331</v>
      </c>
    </row>
    <row r="100" spans="1:6" s="39" customFormat="1" x14ac:dyDescent="0.3">
      <c r="A100" s="290">
        <v>38022</v>
      </c>
      <c r="B100" s="294" t="s">
        <v>5101</v>
      </c>
      <c r="C100" s="270">
        <v>626824240011</v>
      </c>
      <c r="D100" s="253" t="s">
        <v>124</v>
      </c>
      <c r="E100" s="254" t="s">
        <v>3367</v>
      </c>
      <c r="F100" s="292">
        <v>45331</v>
      </c>
    </row>
    <row r="101" spans="1:6" s="39" customFormat="1" x14ac:dyDescent="0.3">
      <c r="A101" s="290">
        <v>142356</v>
      </c>
      <c r="B101" s="294" t="s">
        <v>114</v>
      </c>
      <c r="C101" s="270">
        <v>626824900014</v>
      </c>
      <c r="D101" s="253" t="s">
        <v>25</v>
      </c>
      <c r="E101" s="254" t="s">
        <v>3367</v>
      </c>
      <c r="F101" s="292">
        <v>45331</v>
      </c>
    </row>
    <row r="102" spans="1:6" s="39" customFormat="1" ht="41.95" x14ac:dyDescent="0.3">
      <c r="A102" s="290">
        <v>23262</v>
      </c>
      <c r="B102" s="294" t="s">
        <v>5095</v>
      </c>
      <c r="C102" s="270" t="str">
        <f>"627987783704"</f>
        <v>627987783704</v>
      </c>
      <c r="D102" s="253" t="s">
        <v>25</v>
      </c>
      <c r="E102" s="254" t="s">
        <v>5099</v>
      </c>
      <c r="F102" s="292">
        <v>45387</v>
      </c>
    </row>
    <row r="103" spans="1:6" s="39" customFormat="1" x14ac:dyDescent="0.3">
      <c r="A103" s="290">
        <v>22886</v>
      </c>
      <c r="B103" s="294" t="s">
        <v>5096</v>
      </c>
      <c r="C103" s="270" t="str">
        <f>"793888595712"</f>
        <v>793888595712</v>
      </c>
      <c r="D103" s="253" t="s">
        <v>25</v>
      </c>
      <c r="E103" s="254" t="s">
        <v>3367</v>
      </c>
      <c r="F103" s="292">
        <v>45349</v>
      </c>
    </row>
    <row r="104" spans="1:6" s="39" customFormat="1" x14ac:dyDescent="0.3">
      <c r="A104" s="290">
        <v>25135</v>
      </c>
      <c r="B104" s="294" t="s">
        <v>4346</v>
      </c>
      <c r="C104" s="270" t="str">
        <f>"3080216053677"</f>
        <v>3080216053677</v>
      </c>
      <c r="D104" s="253" t="s">
        <v>29</v>
      </c>
      <c r="E104" s="254" t="s">
        <v>3367</v>
      </c>
      <c r="F104" s="292">
        <v>45349</v>
      </c>
    </row>
    <row r="105" spans="1:6" s="39" customFormat="1" x14ac:dyDescent="0.3">
      <c r="A105" s="290">
        <v>33137</v>
      </c>
      <c r="B105" s="294" t="s">
        <v>5097</v>
      </c>
      <c r="C105" s="270" t="str">
        <f>"812339001098"</f>
        <v>812339001098</v>
      </c>
      <c r="D105" s="253" t="s">
        <v>25</v>
      </c>
      <c r="E105" s="254" t="s">
        <v>3367</v>
      </c>
      <c r="F105" s="292">
        <v>45349</v>
      </c>
    </row>
    <row r="106" spans="1:6" s="39" customFormat="1" x14ac:dyDescent="0.3">
      <c r="A106" s="290">
        <v>34927</v>
      </c>
      <c r="B106" s="294" t="s">
        <v>5098</v>
      </c>
      <c r="C106" s="270" t="str">
        <f>"812339001173"</f>
        <v>812339001173</v>
      </c>
      <c r="D106" s="253" t="s">
        <v>25</v>
      </c>
      <c r="E106" s="254" t="s">
        <v>3367</v>
      </c>
      <c r="F106" s="292">
        <v>45349</v>
      </c>
    </row>
    <row r="107" spans="1:6" s="39" customFormat="1" x14ac:dyDescent="0.3">
      <c r="A107" s="290">
        <v>405753</v>
      </c>
      <c r="B107" s="294" t="s">
        <v>5093</v>
      </c>
      <c r="C107" s="270" t="s">
        <v>5094</v>
      </c>
      <c r="D107" s="253" t="s">
        <v>202</v>
      </c>
      <c r="E107" s="254" t="s">
        <v>3367</v>
      </c>
      <c r="F107" s="292">
        <v>45343</v>
      </c>
    </row>
    <row r="108" spans="1:6" s="39" customFormat="1" ht="27.95" x14ac:dyDescent="0.3">
      <c r="A108" s="290">
        <v>26698</v>
      </c>
      <c r="B108" s="294" t="s">
        <v>5091</v>
      </c>
      <c r="C108" s="270" t="str">
        <f>"627987330007"</f>
        <v>627987330007</v>
      </c>
      <c r="D108" s="253" t="s">
        <v>25</v>
      </c>
      <c r="E108" s="254" t="s">
        <v>5092</v>
      </c>
      <c r="F108" s="292">
        <v>45324</v>
      </c>
    </row>
    <row r="109" spans="1:6" s="39" customFormat="1" x14ac:dyDescent="0.3">
      <c r="A109" s="290">
        <v>32973</v>
      </c>
      <c r="B109" s="294" t="s">
        <v>5090</v>
      </c>
      <c r="C109" s="270" t="str">
        <f>"877000000398"</f>
        <v>877000000398</v>
      </c>
      <c r="D109" s="253" t="s">
        <v>124</v>
      </c>
      <c r="E109" s="254" t="s">
        <v>3367</v>
      </c>
      <c r="F109" s="292">
        <v>45349</v>
      </c>
    </row>
    <row r="110" spans="1:6" s="39" customFormat="1" x14ac:dyDescent="0.3">
      <c r="A110" s="290">
        <v>572800</v>
      </c>
      <c r="B110" s="294" t="s">
        <v>5080</v>
      </c>
      <c r="C110" s="270" t="s">
        <v>5081</v>
      </c>
      <c r="D110" s="253" t="s">
        <v>202</v>
      </c>
      <c r="E110" s="254" t="s">
        <v>3367</v>
      </c>
      <c r="F110" s="292">
        <v>45335</v>
      </c>
    </row>
    <row r="111" spans="1:6" s="39" customFormat="1" x14ac:dyDescent="0.3">
      <c r="A111" s="290">
        <v>11863</v>
      </c>
      <c r="B111" s="294" t="s">
        <v>5072</v>
      </c>
      <c r="C111" s="270" t="str">
        <f>"628679911054"</f>
        <v>628679911054</v>
      </c>
      <c r="D111" s="253" t="s">
        <v>25</v>
      </c>
      <c r="E111" s="254" t="s">
        <v>3367</v>
      </c>
      <c r="F111" s="292">
        <v>45335</v>
      </c>
    </row>
    <row r="112" spans="1:6" s="39" customFormat="1" x14ac:dyDescent="0.3">
      <c r="A112" s="290">
        <v>11917</v>
      </c>
      <c r="B112" s="294" t="s">
        <v>5073</v>
      </c>
      <c r="C112" s="270" t="str">
        <f>"628679911078"</f>
        <v>628679911078</v>
      </c>
      <c r="D112" s="253" t="s">
        <v>25</v>
      </c>
      <c r="E112" s="254" t="s">
        <v>3367</v>
      </c>
      <c r="F112" s="292">
        <v>45335</v>
      </c>
    </row>
    <row r="113" spans="1:6" s="39" customFormat="1" x14ac:dyDescent="0.3">
      <c r="A113" s="290">
        <v>20011</v>
      </c>
      <c r="B113" s="294" t="s">
        <v>5074</v>
      </c>
      <c r="C113" s="270" t="str">
        <f>"628679911344"</f>
        <v>628679911344</v>
      </c>
      <c r="D113" s="253" t="s">
        <v>25</v>
      </c>
      <c r="E113" s="254" t="s">
        <v>3367</v>
      </c>
      <c r="F113" s="292">
        <v>45335</v>
      </c>
    </row>
    <row r="114" spans="1:6" s="39" customFormat="1" x14ac:dyDescent="0.3">
      <c r="A114" s="290">
        <v>20815</v>
      </c>
      <c r="B114" s="294" t="s">
        <v>5075</v>
      </c>
      <c r="C114" s="270" t="str">
        <f>"628679911436"</f>
        <v>628679911436</v>
      </c>
      <c r="D114" s="253" t="s">
        <v>25</v>
      </c>
      <c r="E114" s="254" t="s">
        <v>3367</v>
      </c>
      <c r="F114" s="292">
        <v>45335</v>
      </c>
    </row>
    <row r="115" spans="1:6" s="39" customFormat="1" x14ac:dyDescent="0.3">
      <c r="A115" s="290">
        <v>535229</v>
      </c>
      <c r="B115" s="294" t="s">
        <v>5079</v>
      </c>
      <c r="C115" s="270" t="str">
        <f>"628679910217"</f>
        <v>628679910217</v>
      </c>
      <c r="D115" s="253" t="s">
        <v>25</v>
      </c>
      <c r="E115" s="254" t="s">
        <v>3367</v>
      </c>
      <c r="F115" s="292">
        <v>45335</v>
      </c>
    </row>
    <row r="116" spans="1:6" s="39" customFormat="1" x14ac:dyDescent="0.3">
      <c r="A116" s="290">
        <v>34277</v>
      </c>
      <c r="B116" s="294" t="s">
        <v>5076</v>
      </c>
      <c r="C116" s="270" t="str">
        <f>"691245100114"</f>
        <v>691245100114</v>
      </c>
      <c r="D116" s="253" t="s">
        <v>124</v>
      </c>
      <c r="E116" s="254" t="s">
        <v>3367</v>
      </c>
      <c r="F116" s="292">
        <v>45335</v>
      </c>
    </row>
    <row r="117" spans="1:6" s="39" customFormat="1" x14ac:dyDescent="0.3">
      <c r="A117" s="290">
        <v>34284</v>
      </c>
      <c r="B117" s="294" t="s">
        <v>4132</v>
      </c>
      <c r="C117" s="270" t="str">
        <f>"812339001159"</f>
        <v>812339001159</v>
      </c>
      <c r="D117" s="253" t="s">
        <v>2702</v>
      </c>
      <c r="E117" s="254" t="s">
        <v>3367</v>
      </c>
      <c r="F117" s="292">
        <v>45335</v>
      </c>
    </row>
    <row r="118" spans="1:6" s="39" customFormat="1" x14ac:dyDescent="0.3">
      <c r="A118" s="290">
        <v>34319</v>
      </c>
      <c r="B118" s="294" t="s">
        <v>4370</v>
      </c>
      <c r="C118" s="270" t="str">
        <f>"628110037558"</f>
        <v>628110037558</v>
      </c>
      <c r="D118" s="253" t="s">
        <v>2702</v>
      </c>
      <c r="E118" s="254" t="s">
        <v>3367</v>
      </c>
      <c r="F118" s="292">
        <v>45335</v>
      </c>
    </row>
    <row r="119" spans="1:6" s="39" customFormat="1" x14ac:dyDescent="0.3">
      <c r="A119" s="290">
        <v>34950</v>
      </c>
      <c r="B119" s="294" t="s">
        <v>5077</v>
      </c>
      <c r="C119" s="270" t="str">
        <f>"793888274471"</f>
        <v>793888274471</v>
      </c>
      <c r="D119" s="253" t="s">
        <v>48</v>
      </c>
      <c r="E119" s="254" t="s">
        <v>3367</v>
      </c>
      <c r="F119" s="292">
        <v>45335</v>
      </c>
    </row>
    <row r="120" spans="1:6" s="39" customFormat="1" x14ac:dyDescent="0.3">
      <c r="A120" s="290">
        <v>283846</v>
      </c>
      <c r="B120" s="294" t="s">
        <v>5078</v>
      </c>
      <c r="C120" s="270" t="str">
        <f>"5000264011960"</f>
        <v>5000264011960</v>
      </c>
      <c r="D120" s="253" t="s">
        <v>48</v>
      </c>
      <c r="E120" s="254" t="s">
        <v>3367</v>
      </c>
      <c r="F120" s="292">
        <v>45335</v>
      </c>
    </row>
    <row r="121" spans="1:6" x14ac:dyDescent="0.3">
      <c r="A121" s="290">
        <v>10312</v>
      </c>
      <c r="B121" s="291" t="s">
        <v>2756</v>
      </c>
      <c r="C121" s="270" t="str">
        <f>"627843872504"</f>
        <v>627843872504</v>
      </c>
      <c r="D121" s="253" t="s">
        <v>25</v>
      </c>
      <c r="E121" s="295" t="s">
        <v>5071</v>
      </c>
      <c r="F121" s="292">
        <v>45315</v>
      </c>
    </row>
    <row r="122" spans="1:6" s="39" customFormat="1" x14ac:dyDescent="0.3">
      <c r="A122" s="290">
        <v>19894</v>
      </c>
      <c r="B122" s="294" t="s">
        <v>5060</v>
      </c>
      <c r="C122" s="270" t="s">
        <v>5065</v>
      </c>
      <c r="D122" s="253" t="s">
        <v>98</v>
      </c>
      <c r="E122" s="254" t="s">
        <v>5064</v>
      </c>
      <c r="F122" s="292">
        <v>45363</v>
      </c>
    </row>
    <row r="123" spans="1:6" s="39" customFormat="1" x14ac:dyDescent="0.3">
      <c r="A123" s="290">
        <v>35354</v>
      </c>
      <c r="B123" s="294" t="s">
        <v>5061</v>
      </c>
      <c r="C123" s="270" t="s">
        <v>5066</v>
      </c>
      <c r="D123" s="253" t="s">
        <v>37</v>
      </c>
      <c r="E123" s="254" t="s">
        <v>5064</v>
      </c>
      <c r="F123" s="292">
        <v>45363</v>
      </c>
    </row>
    <row r="124" spans="1:6" s="39" customFormat="1" x14ac:dyDescent="0.3">
      <c r="A124" s="290">
        <v>140509</v>
      </c>
      <c r="B124" s="294" t="s">
        <v>3581</v>
      </c>
      <c r="C124" s="270" t="s">
        <v>5067</v>
      </c>
      <c r="D124" s="253" t="s">
        <v>98</v>
      </c>
      <c r="E124" s="254" t="s">
        <v>5064</v>
      </c>
      <c r="F124" s="292">
        <v>45363</v>
      </c>
    </row>
    <row r="125" spans="1:6" s="39" customFormat="1" x14ac:dyDescent="0.3">
      <c r="A125" s="290">
        <v>422345</v>
      </c>
      <c r="B125" s="294" t="s">
        <v>3555</v>
      </c>
      <c r="C125" s="270" t="s">
        <v>5068</v>
      </c>
      <c r="D125" s="253" t="s">
        <v>98</v>
      </c>
      <c r="E125" s="254" t="s">
        <v>5064</v>
      </c>
      <c r="F125" s="292">
        <v>45363</v>
      </c>
    </row>
    <row r="126" spans="1:6" s="39" customFormat="1" x14ac:dyDescent="0.3">
      <c r="A126" s="290">
        <v>422485</v>
      </c>
      <c r="B126" s="294" t="s">
        <v>5062</v>
      </c>
      <c r="C126" s="270" t="s">
        <v>5069</v>
      </c>
      <c r="D126" s="253" t="s">
        <v>25</v>
      </c>
      <c r="E126" s="254" t="s">
        <v>5064</v>
      </c>
      <c r="F126" s="292">
        <v>45363</v>
      </c>
    </row>
    <row r="127" spans="1:6" s="39" customFormat="1" x14ac:dyDescent="0.3">
      <c r="A127" s="290">
        <v>609248</v>
      </c>
      <c r="B127" s="294" t="s">
        <v>283</v>
      </c>
      <c r="C127" s="270" t="s">
        <v>1465</v>
      </c>
      <c r="D127" s="253" t="s">
        <v>25</v>
      </c>
      <c r="E127" s="254" t="s">
        <v>5064</v>
      </c>
      <c r="F127" s="292">
        <v>45363</v>
      </c>
    </row>
    <row r="128" spans="1:6" s="39" customFormat="1" x14ac:dyDescent="0.3">
      <c r="A128" s="290">
        <v>911396</v>
      </c>
      <c r="B128" s="294" t="s">
        <v>5063</v>
      </c>
      <c r="C128" s="270" t="s">
        <v>5070</v>
      </c>
      <c r="D128" s="253" t="s">
        <v>106</v>
      </c>
      <c r="E128" s="254" t="s">
        <v>5064</v>
      </c>
      <c r="F128" s="292">
        <v>45363</v>
      </c>
    </row>
    <row r="129" spans="1:6" s="39" customFormat="1" x14ac:dyDescent="0.3">
      <c r="A129" s="290">
        <v>27919</v>
      </c>
      <c r="B129" s="291" t="s">
        <v>5059</v>
      </c>
      <c r="C129" s="270" t="s">
        <v>5058</v>
      </c>
      <c r="D129" s="253" t="s">
        <v>202</v>
      </c>
      <c r="E129" s="254" t="s">
        <v>3367</v>
      </c>
      <c r="F129" s="292">
        <v>45314</v>
      </c>
    </row>
    <row r="130" spans="1:6" s="39" customFormat="1" x14ac:dyDescent="0.3">
      <c r="A130" s="290">
        <v>11939</v>
      </c>
      <c r="B130" s="291" t="s">
        <v>5057</v>
      </c>
      <c r="C130" s="270">
        <v>9311789003498</v>
      </c>
      <c r="D130" s="253" t="s">
        <v>202</v>
      </c>
      <c r="E130" s="254" t="s">
        <v>3367</v>
      </c>
      <c r="F130" s="292">
        <v>45314</v>
      </c>
    </row>
    <row r="131" spans="1:6" s="39" customFormat="1" x14ac:dyDescent="0.3">
      <c r="A131" s="290">
        <v>433623</v>
      </c>
      <c r="B131" s="291" t="s">
        <v>5055</v>
      </c>
      <c r="C131" s="270" t="str">
        <f>"083820124156"</f>
        <v>083820124156</v>
      </c>
      <c r="D131" s="253" t="s">
        <v>25</v>
      </c>
      <c r="E131" s="254" t="s">
        <v>3367</v>
      </c>
      <c r="F131" s="292">
        <v>45335</v>
      </c>
    </row>
    <row r="132" spans="1:6" s="39" customFormat="1" x14ac:dyDescent="0.3">
      <c r="A132" s="290">
        <v>536227</v>
      </c>
      <c r="B132" s="291" t="s">
        <v>5056</v>
      </c>
      <c r="C132" s="270" t="str">
        <f>"5000213020753"</f>
        <v>5000213020753</v>
      </c>
      <c r="D132" s="253" t="s">
        <v>48</v>
      </c>
      <c r="E132" s="254" t="s">
        <v>3367</v>
      </c>
      <c r="F132" s="292">
        <v>45335</v>
      </c>
    </row>
    <row r="133" spans="1:6" s="39" customFormat="1" x14ac:dyDescent="0.3">
      <c r="A133" s="290">
        <v>21665</v>
      </c>
      <c r="B133" s="291" t="s">
        <v>5054</v>
      </c>
      <c r="C133" s="270" t="str">
        <f>"8714800043182"</f>
        <v>8714800043182</v>
      </c>
      <c r="D133" s="253" t="s">
        <v>48</v>
      </c>
      <c r="E133" s="254" t="s">
        <v>3367</v>
      </c>
      <c r="F133" s="292">
        <v>45335</v>
      </c>
    </row>
    <row r="134" spans="1:6" s="39" customFormat="1" x14ac:dyDescent="0.3">
      <c r="A134" s="290">
        <v>25032</v>
      </c>
      <c r="B134" s="291" t="s">
        <v>5049</v>
      </c>
      <c r="C134" s="270" t="str">
        <f>"627987160116"</f>
        <v>627987160116</v>
      </c>
      <c r="D134" s="253" t="s">
        <v>25</v>
      </c>
      <c r="E134" s="254" t="s">
        <v>3367</v>
      </c>
      <c r="F134" s="292">
        <v>45309</v>
      </c>
    </row>
    <row r="135" spans="1:6" s="39" customFormat="1" x14ac:dyDescent="0.3">
      <c r="A135" s="290">
        <v>33543</v>
      </c>
      <c r="B135" s="291" t="s">
        <v>5050</v>
      </c>
      <c r="C135" s="270" t="str">
        <f>"7340216100280"</f>
        <v>7340216100280</v>
      </c>
      <c r="D135" s="253" t="s">
        <v>25</v>
      </c>
      <c r="E135" s="254" t="s">
        <v>3367</v>
      </c>
      <c r="F135" s="292">
        <v>45309</v>
      </c>
    </row>
    <row r="136" spans="1:6" s="39" customFormat="1" x14ac:dyDescent="0.3">
      <c r="A136" s="290">
        <v>29519</v>
      </c>
      <c r="B136" s="291" t="s">
        <v>5051</v>
      </c>
      <c r="C136" s="270" t="str">
        <f>"627843894902"</f>
        <v>627843894902</v>
      </c>
      <c r="D136" s="253" t="s">
        <v>25</v>
      </c>
      <c r="E136" s="254" t="s">
        <v>3367</v>
      </c>
      <c r="F136" s="292">
        <v>45328</v>
      </c>
    </row>
    <row r="137" spans="1:6" s="39" customFormat="1" x14ac:dyDescent="0.3">
      <c r="A137" s="290">
        <v>31743</v>
      </c>
      <c r="B137" s="291" t="s">
        <v>5052</v>
      </c>
      <c r="C137" s="270" t="str">
        <f>"626867211030"</f>
        <v>626867211030</v>
      </c>
      <c r="D137" s="253" t="s">
        <v>25</v>
      </c>
      <c r="E137" s="254" t="s">
        <v>3367</v>
      </c>
      <c r="F137" s="292">
        <v>45328</v>
      </c>
    </row>
    <row r="138" spans="1:6" s="39" customFormat="1" x14ac:dyDescent="0.3">
      <c r="A138" s="290">
        <v>25099</v>
      </c>
      <c r="B138" s="291" t="s">
        <v>4762</v>
      </c>
      <c r="C138" s="270" t="str">
        <f>"186360051880"</f>
        <v>186360051880</v>
      </c>
      <c r="D138" s="253" t="s">
        <v>25</v>
      </c>
      <c r="E138" s="254" t="s">
        <v>3367</v>
      </c>
      <c r="F138" s="292">
        <v>45328</v>
      </c>
    </row>
    <row r="139" spans="1:6" s="39" customFormat="1" x14ac:dyDescent="0.3">
      <c r="A139" s="290">
        <v>217331</v>
      </c>
      <c r="B139" s="291" t="s">
        <v>3084</v>
      </c>
      <c r="C139" s="270" t="str">
        <f>"8716700015993"</f>
        <v>8716700015993</v>
      </c>
      <c r="D139" s="253" t="s">
        <v>3085</v>
      </c>
      <c r="E139" s="254" t="s">
        <v>3367</v>
      </c>
      <c r="F139" s="292">
        <v>45328</v>
      </c>
    </row>
    <row r="140" spans="1:6" s="39" customFormat="1" x14ac:dyDescent="0.3">
      <c r="A140" s="290">
        <v>139022</v>
      </c>
      <c r="B140" s="291" t="s">
        <v>5048</v>
      </c>
      <c r="C140" s="270">
        <v>663935100025</v>
      </c>
      <c r="D140" s="253" t="s">
        <v>202</v>
      </c>
      <c r="E140" s="254" t="s">
        <v>3367</v>
      </c>
      <c r="F140" s="292">
        <v>45321</v>
      </c>
    </row>
    <row r="141" spans="1:6" s="39" customFormat="1" ht="27.95" x14ac:dyDescent="0.3">
      <c r="A141" s="280">
        <v>563338</v>
      </c>
      <c r="B141" s="263" t="s">
        <v>5046</v>
      </c>
      <c r="C141" s="252">
        <v>3049610004104</v>
      </c>
      <c r="D141" s="253" t="s">
        <v>202</v>
      </c>
      <c r="E141" s="260" t="s">
        <v>5047</v>
      </c>
      <c r="F141" s="282">
        <v>45307</v>
      </c>
    </row>
    <row r="142" spans="1:6" s="39" customFormat="1" ht="27.95" x14ac:dyDescent="0.3">
      <c r="A142" s="290">
        <v>166959</v>
      </c>
      <c r="B142" s="291" t="s">
        <v>5044</v>
      </c>
      <c r="C142" s="270" t="s">
        <v>3891</v>
      </c>
      <c r="D142" s="253" t="s">
        <v>202</v>
      </c>
      <c r="E142" s="260" t="s">
        <v>5045</v>
      </c>
      <c r="F142" s="292">
        <v>45321</v>
      </c>
    </row>
    <row r="143" spans="1:6" s="39" customFormat="1" x14ac:dyDescent="0.3">
      <c r="A143" s="290">
        <v>519264</v>
      </c>
      <c r="B143" s="291" t="s">
        <v>4273</v>
      </c>
      <c r="C143" s="270">
        <v>699838705067</v>
      </c>
      <c r="D143" s="253" t="s">
        <v>25</v>
      </c>
      <c r="E143" s="254" t="s">
        <v>3367</v>
      </c>
      <c r="F143" s="292">
        <v>45302</v>
      </c>
    </row>
    <row r="144" spans="1:6" s="39" customFormat="1" x14ac:dyDescent="0.3">
      <c r="A144" s="290">
        <v>569822</v>
      </c>
      <c r="B144" s="291" t="s">
        <v>4275</v>
      </c>
      <c r="C144" s="270">
        <v>699838705074</v>
      </c>
      <c r="D144" s="253" t="s">
        <v>25</v>
      </c>
      <c r="E144" s="254" t="s">
        <v>3367</v>
      </c>
      <c r="F144" s="292">
        <v>45302</v>
      </c>
    </row>
    <row r="145" spans="1:6" s="39" customFormat="1" x14ac:dyDescent="0.3">
      <c r="A145" s="290">
        <v>574525</v>
      </c>
      <c r="B145" s="291" t="s">
        <v>5043</v>
      </c>
      <c r="C145" s="270">
        <v>628110917201</v>
      </c>
      <c r="D145" s="253" t="s">
        <v>25</v>
      </c>
      <c r="E145" s="254" t="s">
        <v>3367</v>
      </c>
      <c r="F145" s="292">
        <v>45302</v>
      </c>
    </row>
    <row r="146" spans="1:6" s="39" customFormat="1" x14ac:dyDescent="0.3">
      <c r="A146" s="290">
        <v>74583</v>
      </c>
      <c r="B146" s="291" t="s">
        <v>5042</v>
      </c>
      <c r="C146" s="270" t="str">
        <f>"5740700997303"</f>
        <v>5740700997303</v>
      </c>
      <c r="D146" s="253" t="s">
        <v>48</v>
      </c>
      <c r="E146" s="254" t="s">
        <v>3367</v>
      </c>
      <c r="F146" s="292">
        <v>45321</v>
      </c>
    </row>
    <row r="147" spans="1:6" s="39" customFormat="1" x14ac:dyDescent="0.3">
      <c r="A147" s="290">
        <v>569905</v>
      </c>
      <c r="B147" s="291" t="s">
        <v>5040</v>
      </c>
      <c r="C147" s="270" t="s">
        <v>5041</v>
      </c>
      <c r="D147" s="253" t="s">
        <v>202</v>
      </c>
      <c r="E147" s="254" t="s">
        <v>3367</v>
      </c>
      <c r="F147" s="292">
        <v>45314</v>
      </c>
    </row>
    <row r="148" spans="1:6" s="39" customFormat="1" x14ac:dyDescent="0.3">
      <c r="A148" s="290">
        <v>31458</v>
      </c>
      <c r="B148" s="291" t="s">
        <v>5039</v>
      </c>
      <c r="C148" s="270" t="str">
        <f>"628055459583"</f>
        <v>628055459583</v>
      </c>
      <c r="D148" s="253" t="s">
        <v>25</v>
      </c>
      <c r="E148" s="254" t="s">
        <v>3367</v>
      </c>
      <c r="F148" s="292">
        <v>45321</v>
      </c>
    </row>
    <row r="149" spans="1:6" s="39" customFormat="1" x14ac:dyDescent="0.3">
      <c r="A149" s="290">
        <v>12047</v>
      </c>
      <c r="B149" s="291" t="s">
        <v>3714</v>
      </c>
      <c r="C149" s="270" t="str">
        <f>"5010118317407"</f>
        <v>5010118317407</v>
      </c>
      <c r="D149" s="253" t="s">
        <v>48</v>
      </c>
      <c r="E149" s="254" t="s">
        <v>3367</v>
      </c>
      <c r="F149" s="292">
        <v>45321</v>
      </c>
    </row>
    <row r="150" spans="1:6" s="39" customFormat="1" x14ac:dyDescent="0.3">
      <c r="A150" s="290">
        <v>31761</v>
      </c>
      <c r="B150" s="291" t="s">
        <v>5037</v>
      </c>
      <c r="C150" s="270" t="str">
        <f>"062067456510"</f>
        <v>062067456510</v>
      </c>
      <c r="D150" s="253" t="s">
        <v>98</v>
      </c>
      <c r="E150" s="254" t="s">
        <v>3367</v>
      </c>
      <c r="F150" s="292">
        <v>45321</v>
      </c>
    </row>
    <row r="151" spans="1:6" s="39" customFormat="1" x14ac:dyDescent="0.3">
      <c r="A151" s="290">
        <v>34903</v>
      </c>
      <c r="B151" s="291" t="s">
        <v>5035</v>
      </c>
      <c r="C151" s="270" t="str">
        <f>"628055731719"</f>
        <v>628055731719</v>
      </c>
      <c r="D151" s="253" t="s">
        <v>25</v>
      </c>
      <c r="E151" s="254" t="s">
        <v>3367</v>
      </c>
      <c r="F151" s="292">
        <v>45307</v>
      </c>
    </row>
    <row r="152" spans="1:6" s="39" customFormat="1" x14ac:dyDescent="0.3">
      <c r="A152" s="290">
        <v>160523</v>
      </c>
      <c r="B152" s="291" t="s">
        <v>5034</v>
      </c>
      <c r="C152" s="270">
        <v>402492010039</v>
      </c>
      <c r="D152" s="253" t="s">
        <v>202</v>
      </c>
      <c r="E152" s="254" t="s">
        <v>3367</v>
      </c>
      <c r="F152" s="292">
        <v>45307</v>
      </c>
    </row>
    <row r="153" spans="1:6" s="39" customFormat="1" x14ac:dyDescent="0.3">
      <c r="A153" s="290">
        <v>10312</v>
      </c>
      <c r="B153" s="291" t="s">
        <v>2756</v>
      </c>
      <c r="C153" s="270" t="str">
        <f>"627843872504"</f>
        <v>627843872504</v>
      </c>
      <c r="D153" s="253" t="s">
        <v>25</v>
      </c>
      <c r="E153" s="295" t="s">
        <v>5071</v>
      </c>
      <c r="F153" s="292">
        <v>45307</v>
      </c>
    </row>
    <row r="154" spans="1:6" s="39" customFormat="1" x14ac:dyDescent="0.3">
      <c r="A154" s="290">
        <v>20251</v>
      </c>
      <c r="B154" s="291" t="s">
        <v>5024</v>
      </c>
      <c r="C154" s="270" t="str">
        <f>"629114004201"</f>
        <v>629114004201</v>
      </c>
      <c r="D154" s="253" t="s">
        <v>25</v>
      </c>
      <c r="E154" s="254" t="s">
        <v>3367</v>
      </c>
      <c r="F154" s="292">
        <v>45307</v>
      </c>
    </row>
    <row r="155" spans="1:6" s="39" customFormat="1" x14ac:dyDescent="0.3">
      <c r="A155" s="290">
        <v>22016</v>
      </c>
      <c r="B155" s="291" t="s">
        <v>5025</v>
      </c>
      <c r="C155" s="270" t="str">
        <f>"629114004218"</f>
        <v>629114004218</v>
      </c>
      <c r="D155" s="253" t="s">
        <v>25</v>
      </c>
      <c r="E155" s="254" t="s">
        <v>3367</v>
      </c>
      <c r="F155" s="292">
        <v>45307</v>
      </c>
    </row>
    <row r="156" spans="1:6" s="39" customFormat="1" x14ac:dyDescent="0.3">
      <c r="A156" s="290">
        <v>519926</v>
      </c>
      <c r="B156" s="291" t="s">
        <v>5038</v>
      </c>
      <c r="C156" s="270" t="str">
        <f>"627843530268"</f>
        <v>627843530268</v>
      </c>
      <c r="D156" s="253" t="s">
        <v>25</v>
      </c>
      <c r="E156" s="254" t="s">
        <v>5036</v>
      </c>
      <c r="F156" s="292">
        <v>45300</v>
      </c>
    </row>
    <row r="157" spans="1:6" s="39" customFormat="1" x14ac:dyDescent="0.3">
      <c r="A157" s="290">
        <v>32923</v>
      </c>
      <c r="B157" s="291" t="s">
        <v>5023</v>
      </c>
      <c r="C157" s="270" t="str">
        <f>"627843530251"</f>
        <v>627843530251</v>
      </c>
      <c r="D157" s="253" t="s">
        <v>25</v>
      </c>
      <c r="E157" s="254" t="s">
        <v>5036</v>
      </c>
      <c r="F157" s="292">
        <v>45300</v>
      </c>
    </row>
    <row r="158" spans="1:6" s="39" customFormat="1" x14ac:dyDescent="0.3">
      <c r="A158" s="290">
        <v>312850</v>
      </c>
      <c r="B158" s="291" t="s">
        <v>5022</v>
      </c>
      <c r="C158" s="270" t="str">
        <f>"855315000531"</f>
        <v>855315000531</v>
      </c>
      <c r="D158" s="253" t="s">
        <v>60</v>
      </c>
      <c r="E158" s="254" t="s">
        <v>3367</v>
      </c>
      <c r="F158" s="292">
        <v>45300</v>
      </c>
    </row>
    <row r="159" spans="1:6" s="39" customFormat="1" x14ac:dyDescent="0.3">
      <c r="A159" s="290">
        <v>25036</v>
      </c>
      <c r="B159" s="291" t="s">
        <v>5021</v>
      </c>
      <c r="C159" s="270" t="str">
        <f>"048162018761"</f>
        <v>048162018761</v>
      </c>
      <c r="D159" s="253" t="s">
        <v>25</v>
      </c>
      <c r="E159" s="254" t="s">
        <v>3367</v>
      </c>
      <c r="F159" s="292">
        <v>45300</v>
      </c>
    </row>
    <row r="160" spans="1:6" s="39" customFormat="1" x14ac:dyDescent="0.3">
      <c r="A160" s="290">
        <v>161711</v>
      </c>
      <c r="B160" s="291" t="s">
        <v>5084</v>
      </c>
      <c r="C160" s="270">
        <v>4003310011908</v>
      </c>
      <c r="D160" s="253" t="s">
        <v>496</v>
      </c>
      <c r="E160" s="254" t="s">
        <v>3367</v>
      </c>
      <c r="F160" s="292">
        <v>45296</v>
      </c>
    </row>
    <row r="161" spans="1:6" s="39" customFormat="1" x14ac:dyDescent="0.3">
      <c r="A161" s="290">
        <v>21381</v>
      </c>
      <c r="B161" s="291" t="s">
        <v>5019</v>
      </c>
      <c r="C161" s="270">
        <v>63657043226</v>
      </c>
      <c r="D161" s="253" t="s">
        <v>202</v>
      </c>
      <c r="E161" s="254" t="s">
        <v>3367</v>
      </c>
      <c r="F161" s="292">
        <v>45294</v>
      </c>
    </row>
    <row r="162" spans="1:6" s="39" customFormat="1" x14ac:dyDescent="0.3">
      <c r="A162" s="290">
        <v>25426</v>
      </c>
      <c r="B162" s="291" t="s">
        <v>5013</v>
      </c>
      <c r="C162" s="270" t="str">
        <f>"855315007097"</f>
        <v>855315007097</v>
      </c>
      <c r="D162" s="253" t="s">
        <v>25</v>
      </c>
      <c r="E162" s="254" t="s">
        <v>3367</v>
      </c>
      <c r="F162" s="292">
        <v>45294</v>
      </c>
    </row>
    <row r="163" spans="1:6" s="39" customFormat="1" x14ac:dyDescent="0.3">
      <c r="A163" s="290">
        <v>19733</v>
      </c>
      <c r="B163" s="291" t="s">
        <v>5009</v>
      </c>
      <c r="C163" s="270" t="str">
        <f>"627843530343"</f>
        <v>627843530343</v>
      </c>
      <c r="D163" s="253" t="s">
        <v>1620</v>
      </c>
      <c r="E163" s="254" t="s">
        <v>3367</v>
      </c>
      <c r="F163" s="292">
        <v>45294</v>
      </c>
    </row>
    <row r="164" spans="1:6" s="39" customFormat="1" x14ac:dyDescent="0.3">
      <c r="A164" s="290">
        <v>20034</v>
      </c>
      <c r="B164" s="291" t="s">
        <v>5010</v>
      </c>
      <c r="C164" s="270" t="str">
        <f>"627843530329"</f>
        <v>627843530329</v>
      </c>
      <c r="D164" s="253" t="s">
        <v>1620</v>
      </c>
      <c r="E164" s="254" t="s">
        <v>3367</v>
      </c>
      <c r="F164" s="292">
        <v>45294</v>
      </c>
    </row>
    <row r="165" spans="1:6" s="39" customFormat="1" x14ac:dyDescent="0.3">
      <c r="A165" s="290">
        <v>589382</v>
      </c>
      <c r="B165" s="291" t="s">
        <v>5011</v>
      </c>
      <c r="C165" s="270" t="str">
        <f>"627843530282"</f>
        <v>627843530282</v>
      </c>
      <c r="D165" s="253" t="s">
        <v>25</v>
      </c>
      <c r="E165" s="254" t="s">
        <v>3367</v>
      </c>
      <c r="F165" s="292">
        <v>45294</v>
      </c>
    </row>
    <row r="166" spans="1:6" s="39" customFormat="1" x14ac:dyDescent="0.3">
      <c r="A166" s="290">
        <v>32053</v>
      </c>
      <c r="B166" s="291" t="s">
        <v>4582</v>
      </c>
      <c r="C166" s="270" t="str">
        <f>"620707123255"</f>
        <v>620707123255</v>
      </c>
      <c r="D166" s="253" t="s">
        <v>98</v>
      </c>
      <c r="E166" s="254" t="s">
        <v>3367</v>
      </c>
      <c r="F166" s="292">
        <v>45294</v>
      </c>
    </row>
    <row r="167" spans="1:6" s="39" customFormat="1" x14ac:dyDescent="0.3">
      <c r="A167" s="290">
        <v>35064</v>
      </c>
      <c r="B167" s="291" t="s">
        <v>5015</v>
      </c>
      <c r="C167" s="270" t="str">
        <f>"621433058040"</f>
        <v>621433058040</v>
      </c>
      <c r="D167" s="253" t="s">
        <v>25</v>
      </c>
      <c r="E167" s="254" t="s">
        <v>3367</v>
      </c>
      <c r="F167" s="292">
        <v>45294</v>
      </c>
    </row>
    <row r="168" spans="1:6" s="39" customFormat="1" x14ac:dyDescent="0.3">
      <c r="A168" s="290">
        <v>514935</v>
      </c>
      <c r="B168" s="291" t="s">
        <v>5016</v>
      </c>
      <c r="C168" s="270" t="str">
        <f>"870766000367"</f>
        <v>870766000367</v>
      </c>
      <c r="D168" s="253" t="s">
        <v>25</v>
      </c>
      <c r="E168" s="254" t="s">
        <v>3367</v>
      </c>
      <c r="F168" s="292">
        <v>45294</v>
      </c>
    </row>
    <row r="169" spans="1:6" s="39" customFormat="1" ht="14.65" customHeight="1" x14ac:dyDescent="0.3">
      <c r="A169" s="290">
        <v>569103</v>
      </c>
      <c r="B169" s="291" t="s">
        <v>5017</v>
      </c>
      <c r="C169" s="270" t="str">
        <f>"870766000633"</f>
        <v>870766000633</v>
      </c>
      <c r="D169" s="253" t="s">
        <v>25</v>
      </c>
      <c r="E169" s="254" t="s">
        <v>3367</v>
      </c>
      <c r="F169" s="292">
        <v>45294</v>
      </c>
    </row>
    <row r="170" spans="1:6" s="39" customFormat="1" ht="14.65" customHeight="1" x14ac:dyDescent="0.3">
      <c r="A170" s="290">
        <v>34906</v>
      </c>
      <c r="B170" s="291" t="s">
        <v>5018</v>
      </c>
      <c r="C170" s="270" t="str">
        <f>"793888274877"</f>
        <v>793888274877</v>
      </c>
      <c r="D170" s="253" t="s">
        <v>25</v>
      </c>
      <c r="E170" s="254" t="s">
        <v>3367</v>
      </c>
      <c r="F170" s="292">
        <v>45294</v>
      </c>
    </row>
  </sheetData>
  <autoFilter ref="A3:F170" xr:uid="{9FEE9604-E285-4599-99D3-96C556E4E16D}"/>
  <mergeCells count="1">
    <mergeCell ref="D1:E1"/>
  </mergeCells>
  <phoneticPr fontId="47" type="noConversion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147 C142 C110 C107 C61 C57:C59 C3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3CE6-B6AC-46AD-8A32-FAC9E204392F}">
  <dimension ref="A1:H602"/>
  <sheetViews>
    <sheetView showGridLines="0" topLeftCell="A129" zoomScale="80" zoomScaleNormal="80" workbookViewId="0">
      <selection activeCell="A141" sqref="A141:E141"/>
    </sheetView>
  </sheetViews>
  <sheetFormatPr defaultColWidth="9.09765625" defaultRowHeight="14" x14ac:dyDescent="0.3"/>
  <cols>
    <col min="1" max="1" width="10.3984375" style="265" customWidth="1"/>
    <col min="2" max="2" width="50.3984375" style="247" customWidth="1"/>
    <col min="3" max="3" width="18.09765625" style="248" customWidth="1"/>
    <col min="4" max="4" width="8.8984375" style="265" customWidth="1"/>
    <col min="5" max="5" width="93.69921875" style="247" customWidth="1"/>
    <col min="6" max="6" width="12.3984375" style="249" customWidth="1"/>
    <col min="7" max="7" width="24.09765625" style="64" customWidth="1"/>
    <col min="8" max="8" width="18.3984375" style="64" bestFit="1" customWidth="1"/>
    <col min="9" max="16384" width="9.09765625" style="64"/>
  </cols>
  <sheetData>
    <row r="1" spans="1:6" ht="20.7" customHeight="1" x14ac:dyDescent="0.45">
      <c r="C1" s="309" t="s">
        <v>5085</v>
      </c>
      <c r="D1" s="309"/>
      <c r="E1" s="309"/>
    </row>
    <row r="2" spans="1:6" ht="20.7" customHeight="1" x14ac:dyDescent="0.45">
      <c r="D2" s="279"/>
      <c r="E2" s="279"/>
    </row>
    <row r="3" spans="1:6" ht="33.049999999999997" customHeight="1" x14ac:dyDescent="0.3">
      <c r="A3" s="277" t="s">
        <v>1</v>
      </c>
      <c r="B3" s="276" t="s">
        <v>2</v>
      </c>
      <c r="C3" s="276" t="s">
        <v>23</v>
      </c>
      <c r="D3" s="276" t="s">
        <v>3</v>
      </c>
      <c r="E3" s="277" t="s">
        <v>17</v>
      </c>
      <c r="F3" s="278" t="s">
        <v>4</v>
      </c>
    </row>
    <row r="4" spans="1:6" s="39" customFormat="1" x14ac:dyDescent="0.3">
      <c r="A4" s="290">
        <v>19921</v>
      </c>
      <c r="B4" s="291" t="s">
        <v>5033</v>
      </c>
      <c r="C4" s="270" t="s">
        <v>5031</v>
      </c>
      <c r="D4" s="253" t="s">
        <v>202</v>
      </c>
      <c r="E4" s="254" t="s">
        <v>5032</v>
      </c>
      <c r="F4" s="292">
        <v>45289</v>
      </c>
    </row>
    <row r="5" spans="1:6" s="39" customFormat="1" x14ac:dyDescent="0.3">
      <c r="A5" s="290">
        <v>31760</v>
      </c>
      <c r="B5" s="291" t="s">
        <v>5026</v>
      </c>
      <c r="C5" s="270" t="s">
        <v>5027</v>
      </c>
      <c r="D5" s="253" t="s">
        <v>25</v>
      </c>
      <c r="E5" s="254" t="s">
        <v>3367</v>
      </c>
      <c r="F5" s="292">
        <v>45288</v>
      </c>
    </row>
    <row r="6" spans="1:6" s="39" customFormat="1" x14ac:dyDescent="0.3">
      <c r="A6" s="290">
        <v>31754</v>
      </c>
      <c r="B6" s="291" t="s">
        <v>5029</v>
      </c>
      <c r="C6" s="270" t="s">
        <v>5028</v>
      </c>
      <c r="D6" s="253" t="s">
        <v>25</v>
      </c>
      <c r="E6" s="254" t="s">
        <v>3367</v>
      </c>
      <c r="F6" s="292">
        <v>45288</v>
      </c>
    </row>
    <row r="7" spans="1:6" s="39" customFormat="1" x14ac:dyDescent="0.3">
      <c r="A7" s="290">
        <v>31758</v>
      </c>
      <c r="B7" s="291" t="s">
        <v>5030</v>
      </c>
      <c r="C7" s="270" t="s">
        <v>5028</v>
      </c>
      <c r="D7" s="253" t="s">
        <v>25</v>
      </c>
      <c r="E7" s="254" t="s">
        <v>3367</v>
      </c>
      <c r="F7" s="292">
        <v>45288</v>
      </c>
    </row>
    <row r="8" spans="1:6" s="39" customFormat="1" x14ac:dyDescent="0.3">
      <c r="A8" s="290">
        <v>528513</v>
      </c>
      <c r="B8" s="291" t="s">
        <v>3738</v>
      </c>
      <c r="C8" s="270" t="str">
        <f>"627843535515"</f>
        <v>627843535515</v>
      </c>
      <c r="D8" s="253" t="s">
        <v>25</v>
      </c>
      <c r="E8" s="254" t="s">
        <v>3367</v>
      </c>
      <c r="F8" s="292">
        <v>45280</v>
      </c>
    </row>
    <row r="9" spans="1:6" s="39" customFormat="1" x14ac:dyDescent="0.3">
      <c r="A9" s="290">
        <v>22196</v>
      </c>
      <c r="B9" s="291" t="s">
        <v>4858</v>
      </c>
      <c r="C9" s="270">
        <v>8002062020165</v>
      </c>
      <c r="D9" s="253" t="s">
        <v>202</v>
      </c>
      <c r="E9" s="254" t="s">
        <v>3367</v>
      </c>
      <c r="F9" s="292">
        <v>45280</v>
      </c>
    </row>
    <row r="10" spans="1:6" s="39" customFormat="1" ht="15.05" customHeight="1" x14ac:dyDescent="0.3">
      <c r="A10" s="290">
        <v>22195</v>
      </c>
      <c r="B10" s="291" t="s">
        <v>5082</v>
      </c>
      <c r="C10" s="270">
        <v>8002062020141</v>
      </c>
      <c r="D10" s="253" t="s">
        <v>202</v>
      </c>
      <c r="E10" s="254" t="s">
        <v>3367</v>
      </c>
      <c r="F10" s="292">
        <v>45280</v>
      </c>
    </row>
    <row r="11" spans="1:6" s="39" customFormat="1" x14ac:dyDescent="0.3">
      <c r="A11" s="290">
        <v>487728</v>
      </c>
      <c r="B11" s="291" t="s">
        <v>5083</v>
      </c>
      <c r="C11" s="270">
        <v>8000160621543</v>
      </c>
      <c r="D11" s="253" t="s">
        <v>202</v>
      </c>
      <c r="E11" s="254" t="s">
        <v>3367</v>
      </c>
      <c r="F11" s="292">
        <v>45280</v>
      </c>
    </row>
    <row r="12" spans="1:6" s="39" customFormat="1" x14ac:dyDescent="0.3">
      <c r="A12" s="290">
        <v>620104</v>
      </c>
      <c r="B12" s="291" t="s">
        <v>5020</v>
      </c>
      <c r="C12" s="270">
        <v>402492004014</v>
      </c>
      <c r="D12" s="253" t="s">
        <v>202</v>
      </c>
      <c r="E12" s="254" t="s">
        <v>3367</v>
      </c>
      <c r="F12" s="292">
        <v>45279</v>
      </c>
    </row>
    <row r="13" spans="1:6" s="39" customFormat="1" x14ac:dyDescent="0.3">
      <c r="A13" s="290">
        <v>322024</v>
      </c>
      <c r="B13" s="291" t="s">
        <v>5014</v>
      </c>
      <c r="C13" s="270">
        <v>7804320198552</v>
      </c>
      <c r="D13" s="253" t="s">
        <v>202</v>
      </c>
      <c r="E13" s="254" t="s">
        <v>3367</v>
      </c>
      <c r="F13" s="292">
        <v>45282</v>
      </c>
    </row>
    <row r="14" spans="1:6" s="39" customFormat="1" x14ac:dyDescent="0.3">
      <c r="A14" s="290">
        <v>37425</v>
      </c>
      <c r="B14" s="291" t="s">
        <v>5012</v>
      </c>
      <c r="C14" s="270" t="str">
        <f>"805057002812"</f>
        <v>805057002812</v>
      </c>
      <c r="D14" s="253" t="s">
        <v>25</v>
      </c>
      <c r="E14" s="254" t="s">
        <v>3367</v>
      </c>
      <c r="F14" s="292">
        <v>45272</v>
      </c>
    </row>
    <row r="15" spans="1:6" s="39" customFormat="1" x14ac:dyDescent="0.3">
      <c r="A15" s="290">
        <v>31561</v>
      </c>
      <c r="B15" s="291" t="s">
        <v>5003</v>
      </c>
      <c r="C15" s="270" t="str">
        <f>"831265000050"</f>
        <v>831265000050</v>
      </c>
      <c r="D15" s="253" t="s">
        <v>1620</v>
      </c>
      <c r="E15" s="254" t="s">
        <v>3367</v>
      </c>
      <c r="F15" s="292">
        <v>45272</v>
      </c>
    </row>
    <row r="16" spans="1:6" s="39" customFormat="1" x14ac:dyDescent="0.3">
      <c r="A16" s="290">
        <v>31563</v>
      </c>
      <c r="B16" s="291" t="s">
        <v>5004</v>
      </c>
      <c r="C16" s="270" t="str">
        <f>"742832076180"</f>
        <v>742832076180</v>
      </c>
      <c r="D16" s="253" t="s">
        <v>25</v>
      </c>
      <c r="E16" s="254" t="s">
        <v>3367</v>
      </c>
      <c r="F16" s="292">
        <v>45272</v>
      </c>
    </row>
    <row r="17" spans="1:6" s="39" customFormat="1" x14ac:dyDescent="0.3">
      <c r="A17" s="290">
        <v>32058</v>
      </c>
      <c r="B17" s="291" t="s">
        <v>5005</v>
      </c>
      <c r="C17" s="270" t="str">
        <f>"626824230012"</f>
        <v>626824230012</v>
      </c>
      <c r="D17" s="253" t="s">
        <v>124</v>
      </c>
      <c r="E17" s="254" t="s">
        <v>3367</v>
      </c>
      <c r="F17" s="292">
        <v>45272</v>
      </c>
    </row>
    <row r="18" spans="1:6" s="39" customFormat="1" x14ac:dyDescent="0.3">
      <c r="A18" s="290">
        <v>33222</v>
      </c>
      <c r="B18" s="291" t="s">
        <v>5006</v>
      </c>
      <c r="C18" s="270" t="str">
        <f>"874217001620"</f>
        <v>874217001620</v>
      </c>
      <c r="D18" s="253" t="s">
        <v>25</v>
      </c>
      <c r="E18" s="254" t="s">
        <v>3367</v>
      </c>
      <c r="F18" s="292">
        <v>45272</v>
      </c>
    </row>
    <row r="19" spans="1:6" s="39" customFormat="1" x14ac:dyDescent="0.3">
      <c r="A19" s="290">
        <v>33284</v>
      </c>
      <c r="B19" s="291" t="s">
        <v>5007</v>
      </c>
      <c r="C19" s="270" t="str">
        <f>"628176778259"</f>
        <v>628176778259</v>
      </c>
      <c r="D19" s="253" t="s">
        <v>25</v>
      </c>
      <c r="E19" s="254" t="s">
        <v>3367</v>
      </c>
      <c r="F19" s="292">
        <v>45272</v>
      </c>
    </row>
    <row r="20" spans="1:6" s="39" customFormat="1" x14ac:dyDescent="0.3">
      <c r="A20" s="290">
        <v>33611</v>
      </c>
      <c r="B20" s="291" t="s">
        <v>5008</v>
      </c>
      <c r="C20" s="270" t="str">
        <f>"852500002172"</f>
        <v>852500002172</v>
      </c>
      <c r="D20" s="253" t="s">
        <v>98</v>
      </c>
      <c r="E20" s="254" t="s">
        <v>3367</v>
      </c>
      <c r="F20" s="292">
        <v>45272</v>
      </c>
    </row>
    <row r="21" spans="1:6" s="39" customFormat="1" x14ac:dyDescent="0.3">
      <c r="A21" s="290">
        <v>292532</v>
      </c>
      <c r="B21" s="291" t="s">
        <v>5001</v>
      </c>
      <c r="C21" s="270">
        <v>746925001585</v>
      </c>
      <c r="D21" s="253" t="s">
        <v>202</v>
      </c>
      <c r="E21" s="254" t="s">
        <v>3367</v>
      </c>
      <c r="F21" s="292">
        <v>45279</v>
      </c>
    </row>
    <row r="22" spans="1:6" s="39" customFormat="1" x14ac:dyDescent="0.3">
      <c r="A22" s="290">
        <v>19613</v>
      </c>
      <c r="B22" s="291" t="s">
        <v>4726</v>
      </c>
      <c r="C22" s="270" t="str">
        <f>"644216910670"</f>
        <v>644216910670</v>
      </c>
      <c r="D22" s="259" t="s">
        <v>48</v>
      </c>
      <c r="E22" s="254" t="s">
        <v>3367</v>
      </c>
      <c r="F22" s="292">
        <v>45266</v>
      </c>
    </row>
    <row r="23" spans="1:6" s="39" customFormat="1" x14ac:dyDescent="0.3">
      <c r="A23" s="290">
        <v>20661</v>
      </c>
      <c r="B23" s="291" t="s">
        <v>4185</v>
      </c>
      <c r="C23" s="270" t="str">
        <f>"627987546118"</f>
        <v>627987546118</v>
      </c>
      <c r="D23" s="259" t="s">
        <v>98</v>
      </c>
      <c r="E23" s="254" t="s">
        <v>3367</v>
      </c>
      <c r="F23" s="292">
        <v>45266</v>
      </c>
    </row>
    <row r="24" spans="1:6" s="39" customFormat="1" x14ac:dyDescent="0.3">
      <c r="A24" s="290">
        <v>31546</v>
      </c>
      <c r="B24" s="291" t="s">
        <v>4999</v>
      </c>
      <c r="C24" s="270" t="str">
        <f>"628028190017"</f>
        <v>628028190017</v>
      </c>
      <c r="D24" s="259" t="s">
        <v>25</v>
      </c>
      <c r="E24" s="254" t="s">
        <v>3367</v>
      </c>
      <c r="F24" s="292">
        <v>45265</v>
      </c>
    </row>
    <row r="25" spans="1:6" s="39" customFormat="1" x14ac:dyDescent="0.3">
      <c r="A25" s="290">
        <v>31549</v>
      </c>
      <c r="B25" s="291" t="s">
        <v>4767</v>
      </c>
      <c r="C25" s="270" t="str">
        <f>"628028020994"</f>
        <v>628028020994</v>
      </c>
      <c r="D25" s="259" t="s">
        <v>4768</v>
      </c>
      <c r="E25" s="254" t="s">
        <v>3367</v>
      </c>
      <c r="F25" s="292">
        <v>45265</v>
      </c>
    </row>
    <row r="26" spans="1:6" s="39" customFormat="1" x14ac:dyDescent="0.3">
      <c r="A26" s="290">
        <v>33031</v>
      </c>
      <c r="B26" s="291" t="s">
        <v>5000</v>
      </c>
      <c r="C26" s="270" t="str">
        <f>"621433063044"</f>
        <v>621433063044</v>
      </c>
      <c r="D26" s="259" t="s">
        <v>25</v>
      </c>
      <c r="E26" s="254" t="s">
        <v>3367</v>
      </c>
      <c r="F26" s="292">
        <v>45288</v>
      </c>
    </row>
    <row r="27" spans="1:6" s="39" customFormat="1" x14ac:dyDescent="0.3">
      <c r="A27" s="290">
        <v>20075</v>
      </c>
      <c r="B27" s="291" t="s">
        <v>4993</v>
      </c>
      <c r="C27" s="270" t="str">
        <f>"062067384110"</f>
        <v>062067384110</v>
      </c>
      <c r="D27" s="259" t="s">
        <v>25</v>
      </c>
      <c r="E27" s="254" t="s">
        <v>3367</v>
      </c>
      <c r="F27" s="292">
        <v>45265</v>
      </c>
    </row>
    <row r="28" spans="1:6" s="39" customFormat="1" x14ac:dyDescent="0.3">
      <c r="A28" s="290">
        <v>284471</v>
      </c>
      <c r="B28" s="291" t="s">
        <v>4994</v>
      </c>
      <c r="C28" s="270" t="str">
        <f>"062067547034"</f>
        <v>062067547034</v>
      </c>
      <c r="D28" s="259" t="s">
        <v>106</v>
      </c>
      <c r="E28" s="254" t="s">
        <v>3367</v>
      </c>
      <c r="F28" s="292">
        <v>45265</v>
      </c>
    </row>
    <row r="29" spans="1:6" s="39" customFormat="1" x14ac:dyDescent="0.3">
      <c r="A29" s="290">
        <v>449553</v>
      </c>
      <c r="B29" s="291" t="s">
        <v>861</v>
      </c>
      <c r="C29" s="270" t="str">
        <f>"774837526742"</f>
        <v>774837526742</v>
      </c>
      <c r="D29" s="259" t="s">
        <v>25</v>
      </c>
      <c r="E29" s="254" t="s">
        <v>3367</v>
      </c>
      <c r="F29" s="292">
        <v>45265</v>
      </c>
    </row>
    <row r="30" spans="1:6" s="39" customFormat="1" x14ac:dyDescent="0.3">
      <c r="A30" s="290">
        <v>477638</v>
      </c>
      <c r="B30" s="291" t="s">
        <v>3577</v>
      </c>
      <c r="C30" s="270" t="str">
        <f>"064294222982"</f>
        <v>064294222982</v>
      </c>
      <c r="D30" s="259" t="s">
        <v>25</v>
      </c>
      <c r="E30" s="254" t="s">
        <v>3367</v>
      </c>
      <c r="F30" s="292">
        <v>45265</v>
      </c>
    </row>
    <row r="31" spans="1:6" s="39" customFormat="1" x14ac:dyDescent="0.3">
      <c r="A31" s="290">
        <v>516500</v>
      </c>
      <c r="B31" s="291" t="s">
        <v>4995</v>
      </c>
      <c r="C31" s="270" t="str">
        <f>"062067111341"</f>
        <v>062067111341</v>
      </c>
      <c r="D31" s="259" t="s">
        <v>37</v>
      </c>
      <c r="E31" s="254" t="s">
        <v>3367</v>
      </c>
      <c r="F31" s="292">
        <v>45265</v>
      </c>
    </row>
    <row r="32" spans="1:6" s="39" customFormat="1" x14ac:dyDescent="0.3">
      <c r="A32" s="290">
        <v>690156</v>
      </c>
      <c r="B32" s="291" t="s">
        <v>4996</v>
      </c>
      <c r="C32" s="270" t="str">
        <f>"774837594086"</f>
        <v>774837594086</v>
      </c>
      <c r="D32" s="259" t="s">
        <v>106</v>
      </c>
      <c r="E32" s="254" t="s">
        <v>3367</v>
      </c>
      <c r="F32" s="292">
        <v>45265</v>
      </c>
    </row>
    <row r="33" spans="1:6" s="39" customFormat="1" x14ac:dyDescent="0.3">
      <c r="A33" s="290">
        <v>33587</v>
      </c>
      <c r="B33" s="291" t="s">
        <v>4997</v>
      </c>
      <c r="C33" s="270" t="str">
        <f>"628028020987"</f>
        <v>628028020987</v>
      </c>
      <c r="D33" s="259" t="s">
        <v>4722</v>
      </c>
      <c r="E33" s="254" t="s">
        <v>4998</v>
      </c>
      <c r="F33" s="292">
        <v>45265</v>
      </c>
    </row>
    <row r="34" spans="1:6" s="39" customFormat="1" x14ac:dyDescent="0.3">
      <c r="A34" s="290">
        <v>10833</v>
      </c>
      <c r="B34" s="291" t="s">
        <v>4991</v>
      </c>
      <c r="C34" s="270" t="str">
        <f>"856217001275"</f>
        <v>856217001275</v>
      </c>
      <c r="D34" s="259" t="s">
        <v>25</v>
      </c>
      <c r="E34" s="254" t="s">
        <v>3367</v>
      </c>
      <c r="F34" s="292">
        <v>45279</v>
      </c>
    </row>
    <row r="35" spans="1:6" s="39" customFormat="1" x14ac:dyDescent="0.3">
      <c r="A35" s="290">
        <v>16769</v>
      </c>
      <c r="B35" s="291" t="s">
        <v>4992</v>
      </c>
      <c r="C35" s="270" t="str">
        <f>"856217001329"</f>
        <v>856217001329</v>
      </c>
      <c r="D35" s="259" t="s">
        <v>25</v>
      </c>
      <c r="E35" s="254" t="s">
        <v>3367</v>
      </c>
      <c r="F35" s="292">
        <v>45279</v>
      </c>
    </row>
    <row r="36" spans="1:6" s="39" customFormat="1" x14ac:dyDescent="0.3">
      <c r="A36" s="290">
        <v>26816</v>
      </c>
      <c r="B36" s="291" t="s">
        <v>4990</v>
      </c>
      <c r="C36" s="270" t="str">
        <f>"627987822847"</f>
        <v>627987822847</v>
      </c>
      <c r="D36" s="259" t="s">
        <v>1620</v>
      </c>
      <c r="E36" s="254" t="s">
        <v>3367</v>
      </c>
      <c r="F36" s="292">
        <v>45259</v>
      </c>
    </row>
    <row r="37" spans="1:6" x14ac:dyDescent="0.3">
      <c r="A37" s="280">
        <v>10345</v>
      </c>
      <c r="B37" s="263" t="s">
        <v>4983</v>
      </c>
      <c r="C37" s="252" t="str">
        <f>"051497054953"</f>
        <v>051497054953</v>
      </c>
      <c r="D37" s="253" t="s">
        <v>25</v>
      </c>
      <c r="E37" s="254" t="s">
        <v>3367</v>
      </c>
      <c r="F37" s="282">
        <v>45259</v>
      </c>
    </row>
    <row r="38" spans="1:6" x14ac:dyDescent="0.3">
      <c r="A38" s="280">
        <v>10588</v>
      </c>
      <c r="B38" s="263" t="s">
        <v>2647</v>
      </c>
      <c r="C38" s="252" t="str">
        <f>"627987146042"</f>
        <v>627987146042</v>
      </c>
      <c r="D38" s="253" t="s">
        <v>25</v>
      </c>
      <c r="E38" s="254" t="s">
        <v>3367</v>
      </c>
      <c r="F38" s="282">
        <v>45259</v>
      </c>
    </row>
    <row r="39" spans="1:6" x14ac:dyDescent="0.3">
      <c r="A39" s="280">
        <v>15498</v>
      </c>
      <c r="B39" s="263" t="s">
        <v>4984</v>
      </c>
      <c r="C39" s="252" t="str">
        <f>"051497059248"</f>
        <v>051497059248</v>
      </c>
      <c r="D39" s="253" t="s">
        <v>1620</v>
      </c>
      <c r="E39" s="254" t="s">
        <v>3367</v>
      </c>
      <c r="F39" s="282">
        <v>45259</v>
      </c>
    </row>
    <row r="40" spans="1:6" x14ac:dyDescent="0.3">
      <c r="A40" s="280">
        <v>15824</v>
      </c>
      <c r="B40" s="263" t="s">
        <v>4985</v>
      </c>
      <c r="C40" s="252" t="str">
        <f>"627843498049"</f>
        <v>627843498049</v>
      </c>
      <c r="D40" s="253" t="s">
        <v>25</v>
      </c>
      <c r="E40" s="254" t="s">
        <v>3367</v>
      </c>
      <c r="F40" s="282">
        <v>45259</v>
      </c>
    </row>
    <row r="41" spans="1:6" x14ac:dyDescent="0.3">
      <c r="A41" s="280">
        <v>23121</v>
      </c>
      <c r="B41" s="263" t="s">
        <v>4986</v>
      </c>
      <c r="C41" s="252" t="str">
        <f>"627987340877"</f>
        <v>627987340877</v>
      </c>
      <c r="D41" s="253" t="s">
        <v>25</v>
      </c>
      <c r="E41" s="254" t="s">
        <v>3367</v>
      </c>
      <c r="F41" s="282">
        <v>45259</v>
      </c>
    </row>
    <row r="42" spans="1:6" x14ac:dyDescent="0.3">
      <c r="A42" s="280">
        <v>23337</v>
      </c>
      <c r="B42" s="263" t="s">
        <v>4987</v>
      </c>
      <c r="C42" s="252" t="str">
        <f>"602024273813"</f>
        <v>602024273813</v>
      </c>
      <c r="D42" s="253" t="s">
        <v>137</v>
      </c>
      <c r="E42" s="254" t="s">
        <v>3367</v>
      </c>
      <c r="F42" s="282">
        <v>45259</v>
      </c>
    </row>
    <row r="43" spans="1:6" x14ac:dyDescent="0.3">
      <c r="A43" s="280">
        <v>481192</v>
      </c>
      <c r="B43" s="263" t="s">
        <v>4988</v>
      </c>
      <c r="C43" s="252" t="str">
        <f>"627843647850"</f>
        <v>627843647850</v>
      </c>
      <c r="D43" s="253" t="s">
        <v>25</v>
      </c>
      <c r="E43" s="254" t="s">
        <v>3367</v>
      </c>
      <c r="F43" s="282">
        <v>45259</v>
      </c>
    </row>
    <row r="44" spans="1:6" x14ac:dyDescent="0.3">
      <c r="A44" s="280">
        <v>493270</v>
      </c>
      <c r="B44" s="263" t="s">
        <v>4989</v>
      </c>
      <c r="C44" s="252" t="str">
        <f>"627843668855"</f>
        <v>627843668855</v>
      </c>
      <c r="D44" s="253" t="s">
        <v>25</v>
      </c>
      <c r="E44" s="254" t="s">
        <v>3367</v>
      </c>
      <c r="F44" s="282">
        <v>45259</v>
      </c>
    </row>
    <row r="45" spans="1:6" x14ac:dyDescent="0.3">
      <c r="A45" s="280">
        <v>17278</v>
      </c>
      <c r="B45" s="263" t="s">
        <v>450</v>
      </c>
      <c r="C45" s="252" t="str">
        <f>"056910233458"</f>
        <v>056910233458</v>
      </c>
      <c r="D45" s="253" t="s">
        <v>37</v>
      </c>
      <c r="E45" s="254" t="s">
        <v>3367</v>
      </c>
      <c r="F45" s="282">
        <v>45279</v>
      </c>
    </row>
    <row r="46" spans="1:6" x14ac:dyDescent="0.3">
      <c r="A46" s="280">
        <v>589192</v>
      </c>
      <c r="B46" s="263" t="s">
        <v>4982</v>
      </c>
      <c r="C46" s="252" t="str">
        <f>"056910425471"</f>
        <v>056910425471</v>
      </c>
      <c r="D46" s="253" t="s">
        <v>25</v>
      </c>
      <c r="E46" s="254" t="s">
        <v>3367</v>
      </c>
      <c r="F46" s="282">
        <v>45279</v>
      </c>
    </row>
    <row r="47" spans="1:6" x14ac:dyDescent="0.3">
      <c r="A47" s="280">
        <v>13460</v>
      </c>
      <c r="B47" s="263" t="s">
        <v>2744</v>
      </c>
      <c r="C47" s="252" t="str">
        <f>"627987037968"</f>
        <v>627987037968</v>
      </c>
      <c r="D47" s="253" t="s">
        <v>25</v>
      </c>
      <c r="E47" s="254" t="s">
        <v>3367</v>
      </c>
      <c r="F47" s="282">
        <v>45258</v>
      </c>
    </row>
    <row r="48" spans="1:6" x14ac:dyDescent="0.3">
      <c r="A48" s="280">
        <v>20655</v>
      </c>
      <c r="B48" s="263" t="s">
        <v>4979</v>
      </c>
      <c r="C48" s="252" t="str">
        <f>"679546000227"</f>
        <v>679546000227</v>
      </c>
      <c r="D48" s="253" t="s">
        <v>25</v>
      </c>
      <c r="E48" s="254" t="s">
        <v>3367</v>
      </c>
      <c r="F48" s="282">
        <v>45258</v>
      </c>
    </row>
    <row r="49" spans="1:6" x14ac:dyDescent="0.3">
      <c r="A49" s="280">
        <v>547422</v>
      </c>
      <c r="B49" s="263" t="s">
        <v>4980</v>
      </c>
      <c r="C49" s="252" t="str">
        <f>"679546000623"</f>
        <v>679546000623</v>
      </c>
      <c r="D49" s="253" t="s">
        <v>106</v>
      </c>
      <c r="E49" s="254" t="s">
        <v>3367</v>
      </c>
      <c r="F49" s="282">
        <v>45258</v>
      </c>
    </row>
    <row r="50" spans="1:6" x14ac:dyDescent="0.3">
      <c r="A50" s="280">
        <v>547430</v>
      </c>
      <c r="B50" s="263" t="s">
        <v>4981</v>
      </c>
      <c r="C50" s="252" t="str">
        <f>"679546000616"</f>
        <v>679546000616</v>
      </c>
      <c r="D50" s="253" t="s">
        <v>106</v>
      </c>
      <c r="E50" s="254" t="s">
        <v>3367</v>
      </c>
      <c r="F50" s="282">
        <v>45258</v>
      </c>
    </row>
    <row r="51" spans="1:6" x14ac:dyDescent="0.3">
      <c r="A51" s="280">
        <v>308486</v>
      </c>
      <c r="B51" s="263" t="s">
        <v>4978</v>
      </c>
      <c r="C51" s="252">
        <v>402492008067</v>
      </c>
      <c r="D51" s="253" t="s">
        <v>202</v>
      </c>
      <c r="E51" s="254" t="s">
        <v>3367</v>
      </c>
      <c r="F51" s="282">
        <v>45258</v>
      </c>
    </row>
    <row r="52" spans="1:6" x14ac:dyDescent="0.3">
      <c r="A52" s="280">
        <v>31571</v>
      </c>
      <c r="B52" s="263" t="s">
        <v>4976</v>
      </c>
      <c r="C52" s="252">
        <v>812339001074</v>
      </c>
      <c r="D52" s="253" t="s">
        <v>25</v>
      </c>
      <c r="E52" s="254" t="s">
        <v>3367</v>
      </c>
      <c r="F52" s="282">
        <v>45272</v>
      </c>
    </row>
    <row r="53" spans="1:6" x14ac:dyDescent="0.3">
      <c r="A53" s="280">
        <v>499327</v>
      </c>
      <c r="B53" s="263" t="s">
        <v>4977</v>
      </c>
      <c r="C53" s="252">
        <v>812339000596</v>
      </c>
      <c r="D53" s="253" t="s">
        <v>25</v>
      </c>
      <c r="E53" s="254" t="s">
        <v>3367</v>
      </c>
      <c r="F53" s="282">
        <v>45272</v>
      </c>
    </row>
    <row r="54" spans="1:6" s="245" customFormat="1" ht="29.05" x14ac:dyDescent="0.3">
      <c r="A54" s="280">
        <v>229047</v>
      </c>
      <c r="B54" s="263" t="s">
        <v>4975</v>
      </c>
      <c r="C54" s="252">
        <v>839743000547</v>
      </c>
      <c r="D54" s="253" t="s">
        <v>202</v>
      </c>
      <c r="E54" s="260" t="s">
        <v>5053</v>
      </c>
      <c r="F54" s="282">
        <v>45251</v>
      </c>
    </row>
    <row r="55" spans="1:6" x14ac:dyDescent="0.3">
      <c r="A55" s="280">
        <v>26993</v>
      </c>
      <c r="B55" s="263" t="s">
        <v>4957</v>
      </c>
      <c r="C55" s="252">
        <v>627987672107</v>
      </c>
      <c r="D55" s="253" t="s">
        <v>25</v>
      </c>
      <c r="E55" s="254" t="s">
        <v>3367</v>
      </c>
      <c r="F55" s="282">
        <v>45253</v>
      </c>
    </row>
    <row r="56" spans="1:6" x14ac:dyDescent="0.3">
      <c r="A56" s="280">
        <v>33242</v>
      </c>
      <c r="B56" s="263" t="s">
        <v>4958</v>
      </c>
      <c r="C56" s="252">
        <v>628250931150</v>
      </c>
      <c r="D56" s="253" t="s">
        <v>25</v>
      </c>
      <c r="E56" s="254" t="s">
        <v>3367</v>
      </c>
      <c r="F56" s="282">
        <v>45253</v>
      </c>
    </row>
    <row r="57" spans="1:6" x14ac:dyDescent="0.3">
      <c r="A57" s="280">
        <v>617829</v>
      </c>
      <c r="B57" s="263" t="s">
        <v>4959</v>
      </c>
      <c r="C57" s="252">
        <v>824824171018</v>
      </c>
      <c r="D57" s="253" t="s">
        <v>25</v>
      </c>
      <c r="E57" s="254" t="s">
        <v>3367</v>
      </c>
      <c r="F57" s="282">
        <v>45253</v>
      </c>
    </row>
    <row r="58" spans="1:6" x14ac:dyDescent="0.3">
      <c r="A58" s="280">
        <v>617845</v>
      </c>
      <c r="B58" s="263" t="s">
        <v>4960</v>
      </c>
      <c r="C58" s="252">
        <v>824824171032</v>
      </c>
      <c r="D58" s="253" t="s">
        <v>25</v>
      </c>
      <c r="E58" s="254" t="s">
        <v>3367</v>
      </c>
      <c r="F58" s="282">
        <v>45253</v>
      </c>
    </row>
    <row r="59" spans="1:6" x14ac:dyDescent="0.3">
      <c r="A59" s="280">
        <v>387795</v>
      </c>
      <c r="B59" s="263" t="s">
        <v>4961</v>
      </c>
      <c r="C59" s="252">
        <v>856217000605</v>
      </c>
      <c r="D59" s="253" t="s">
        <v>25</v>
      </c>
      <c r="E59" s="254" t="s">
        <v>3367</v>
      </c>
      <c r="F59" s="282">
        <v>45253</v>
      </c>
    </row>
    <row r="60" spans="1:6" x14ac:dyDescent="0.3">
      <c r="A60" s="280">
        <v>437236</v>
      </c>
      <c r="B60" s="263" t="s">
        <v>4962</v>
      </c>
      <c r="C60" s="252">
        <v>856217000629</v>
      </c>
      <c r="D60" s="253" t="s">
        <v>25</v>
      </c>
      <c r="E60" s="254" t="s">
        <v>3367</v>
      </c>
      <c r="F60" s="282">
        <v>45253</v>
      </c>
    </row>
    <row r="61" spans="1:6" x14ac:dyDescent="0.3">
      <c r="A61" s="280">
        <v>508523</v>
      </c>
      <c r="B61" s="263" t="s">
        <v>4963</v>
      </c>
      <c r="C61" s="252">
        <v>628055774013</v>
      </c>
      <c r="D61" s="253" t="s">
        <v>25</v>
      </c>
      <c r="E61" s="254" t="s">
        <v>3367</v>
      </c>
      <c r="F61" s="282">
        <v>45253</v>
      </c>
    </row>
    <row r="62" spans="1:6" x14ac:dyDescent="0.3">
      <c r="A62" s="280">
        <v>639831</v>
      </c>
      <c r="B62" s="263" t="s">
        <v>3782</v>
      </c>
      <c r="C62" s="252">
        <v>628055774020</v>
      </c>
      <c r="D62" s="253" t="s">
        <v>25</v>
      </c>
      <c r="E62" s="254" t="s">
        <v>3367</v>
      </c>
      <c r="F62" s="282">
        <v>45253</v>
      </c>
    </row>
    <row r="63" spans="1:6" x14ac:dyDescent="0.3">
      <c r="A63" s="280">
        <v>668863</v>
      </c>
      <c r="B63" s="263" t="s">
        <v>4964</v>
      </c>
      <c r="C63" s="252">
        <v>628055774129</v>
      </c>
      <c r="D63" s="253" t="s">
        <v>25</v>
      </c>
      <c r="E63" s="254" t="s">
        <v>3367</v>
      </c>
      <c r="F63" s="282">
        <v>45253</v>
      </c>
    </row>
    <row r="64" spans="1:6" x14ac:dyDescent="0.3">
      <c r="A64" s="280">
        <v>610246</v>
      </c>
      <c r="B64" s="263" t="s">
        <v>4965</v>
      </c>
      <c r="C64" s="252">
        <v>627843964179</v>
      </c>
      <c r="D64" s="253" t="s">
        <v>25</v>
      </c>
      <c r="E64" s="254" t="s">
        <v>3367</v>
      </c>
      <c r="F64" s="282">
        <v>45253</v>
      </c>
    </row>
    <row r="65" spans="1:6" x14ac:dyDescent="0.3">
      <c r="A65" s="280">
        <v>16497</v>
      </c>
      <c r="B65" s="263" t="s">
        <v>4966</v>
      </c>
      <c r="C65" s="252">
        <v>627987124170</v>
      </c>
      <c r="D65" s="253" t="s">
        <v>25</v>
      </c>
      <c r="E65" s="254" t="s">
        <v>3367</v>
      </c>
      <c r="F65" s="282">
        <v>45253</v>
      </c>
    </row>
    <row r="66" spans="1:6" x14ac:dyDescent="0.3">
      <c r="A66" s="280">
        <v>16498</v>
      </c>
      <c r="B66" s="263" t="s">
        <v>4967</v>
      </c>
      <c r="C66" s="252">
        <v>627987124163</v>
      </c>
      <c r="D66" s="253" t="s">
        <v>25</v>
      </c>
      <c r="E66" s="254" t="s">
        <v>3367</v>
      </c>
      <c r="F66" s="282">
        <v>45253</v>
      </c>
    </row>
    <row r="67" spans="1:6" x14ac:dyDescent="0.3">
      <c r="A67" s="280">
        <v>22569</v>
      </c>
      <c r="B67" s="263" t="s">
        <v>4968</v>
      </c>
      <c r="C67" s="252">
        <v>628176738390</v>
      </c>
      <c r="D67" s="253" t="s">
        <v>25</v>
      </c>
      <c r="E67" s="254" t="s">
        <v>3367</v>
      </c>
      <c r="F67" s="282">
        <v>45253</v>
      </c>
    </row>
    <row r="68" spans="1:6" x14ac:dyDescent="0.3">
      <c r="A68" s="280">
        <v>20860</v>
      </c>
      <c r="B68" s="263" t="s">
        <v>4969</v>
      </c>
      <c r="C68" s="252">
        <v>627987562064</v>
      </c>
      <c r="D68" s="253" t="s">
        <v>25</v>
      </c>
      <c r="E68" s="254" t="s">
        <v>3367</v>
      </c>
      <c r="F68" s="282">
        <v>45253</v>
      </c>
    </row>
    <row r="69" spans="1:6" x14ac:dyDescent="0.3">
      <c r="A69" s="280">
        <v>28417</v>
      </c>
      <c r="B69" s="263" t="s">
        <v>4970</v>
      </c>
      <c r="C69" s="252">
        <v>7350064997864</v>
      </c>
      <c r="D69" s="253" t="s">
        <v>25</v>
      </c>
      <c r="E69" s="254" t="s">
        <v>3367</v>
      </c>
      <c r="F69" s="282">
        <v>45253</v>
      </c>
    </row>
    <row r="70" spans="1:6" x14ac:dyDescent="0.3">
      <c r="A70" s="280">
        <v>20659</v>
      </c>
      <c r="B70" s="263" t="s">
        <v>4214</v>
      </c>
      <c r="C70" s="252">
        <v>51497226527</v>
      </c>
      <c r="D70" s="253" t="s">
        <v>25</v>
      </c>
      <c r="E70" s="254" t="s">
        <v>3367</v>
      </c>
      <c r="F70" s="282">
        <v>45253</v>
      </c>
    </row>
    <row r="71" spans="1:6" x14ac:dyDescent="0.3">
      <c r="A71" s="280">
        <v>20660</v>
      </c>
      <c r="B71" s="263" t="s">
        <v>4215</v>
      </c>
      <c r="C71" s="252">
        <v>51497226534</v>
      </c>
      <c r="D71" s="253" t="s">
        <v>25</v>
      </c>
      <c r="E71" s="254" t="s">
        <v>3367</v>
      </c>
      <c r="F71" s="282">
        <v>45253</v>
      </c>
    </row>
    <row r="72" spans="1:6" x14ac:dyDescent="0.3">
      <c r="A72" s="280">
        <v>20956</v>
      </c>
      <c r="B72" s="263" t="s">
        <v>4216</v>
      </c>
      <c r="C72" s="252">
        <v>51497226510</v>
      </c>
      <c r="D72" s="253" t="s">
        <v>25</v>
      </c>
      <c r="E72" s="254" t="s">
        <v>3367</v>
      </c>
      <c r="F72" s="282">
        <v>45253</v>
      </c>
    </row>
    <row r="73" spans="1:6" x14ac:dyDescent="0.3">
      <c r="A73" s="280">
        <v>540856</v>
      </c>
      <c r="B73" s="263" t="s">
        <v>4971</v>
      </c>
      <c r="C73" s="252">
        <v>627843855866</v>
      </c>
      <c r="D73" s="253" t="s">
        <v>25</v>
      </c>
      <c r="E73" s="254" t="s">
        <v>3367</v>
      </c>
      <c r="F73" s="282">
        <v>45253</v>
      </c>
    </row>
    <row r="74" spans="1:6" x14ac:dyDescent="0.3">
      <c r="A74" s="280">
        <v>526145</v>
      </c>
      <c r="B74" s="263" t="s">
        <v>4972</v>
      </c>
      <c r="C74" s="252">
        <v>627843759737</v>
      </c>
      <c r="D74" s="253" t="s">
        <v>25</v>
      </c>
      <c r="E74" s="254" t="s">
        <v>3367</v>
      </c>
      <c r="F74" s="282">
        <v>45253</v>
      </c>
    </row>
    <row r="75" spans="1:6" x14ac:dyDescent="0.3">
      <c r="A75" s="280">
        <v>19888</v>
      </c>
      <c r="B75" s="263" t="s">
        <v>4973</v>
      </c>
      <c r="C75" s="252">
        <v>830803000064</v>
      </c>
      <c r="D75" s="253" t="s">
        <v>25</v>
      </c>
      <c r="E75" s="254" t="s">
        <v>3367</v>
      </c>
      <c r="F75" s="282">
        <v>45253</v>
      </c>
    </row>
    <row r="76" spans="1:6" x14ac:dyDescent="0.3">
      <c r="A76" s="280">
        <v>514729</v>
      </c>
      <c r="B76" s="263" t="s">
        <v>3476</v>
      </c>
      <c r="C76" s="252">
        <v>830803000095</v>
      </c>
      <c r="D76" s="253" t="s">
        <v>25</v>
      </c>
      <c r="E76" s="254" t="s">
        <v>3367</v>
      </c>
      <c r="F76" s="282">
        <v>45253</v>
      </c>
    </row>
    <row r="77" spans="1:6" x14ac:dyDescent="0.3">
      <c r="A77" s="280">
        <v>24144</v>
      </c>
      <c r="B77" s="263" t="s">
        <v>4974</v>
      </c>
      <c r="C77" s="252">
        <v>627987602708</v>
      </c>
      <c r="D77" s="253" t="s">
        <v>25</v>
      </c>
      <c r="E77" s="254" t="s">
        <v>3367</v>
      </c>
      <c r="F77" s="282">
        <v>45253</v>
      </c>
    </row>
    <row r="78" spans="1:6" ht="55.9" x14ac:dyDescent="0.3">
      <c r="A78" s="280">
        <v>440925</v>
      </c>
      <c r="B78" s="263" t="s">
        <v>4956</v>
      </c>
      <c r="C78" s="252" t="str">
        <f>"040232281563"</f>
        <v>040232281563</v>
      </c>
      <c r="D78" s="253" t="s">
        <v>25</v>
      </c>
      <c r="E78" s="254" t="s">
        <v>5002</v>
      </c>
      <c r="F78" s="282">
        <v>45272</v>
      </c>
    </row>
    <row r="79" spans="1:6" x14ac:dyDescent="0.3">
      <c r="A79" s="280">
        <v>14883</v>
      </c>
      <c r="B79" s="263" t="s">
        <v>4955</v>
      </c>
      <c r="C79" s="252">
        <v>777081718079</v>
      </c>
      <c r="D79" s="253" t="s">
        <v>202</v>
      </c>
      <c r="E79" s="254" t="s">
        <v>3367</v>
      </c>
      <c r="F79" s="282">
        <v>45251</v>
      </c>
    </row>
    <row r="80" spans="1:6" x14ac:dyDescent="0.3">
      <c r="A80" s="280">
        <v>565861</v>
      </c>
      <c r="B80" s="263" t="s">
        <v>4954</v>
      </c>
      <c r="C80" s="252">
        <v>776409658615</v>
      </c>
      <c r="D80" s="253" t="s">
        <v>759</v>
      </c>
      <c r="E80" s="254" t="s">
        <v>3367</v>
      </c>
      <c r="F80" s="282">
        <v>45251</v>
      </c>
    </row>
    <row r="81" spans="1:6" x14ac:dyDescent="0.3">
      <c r="A81" s="280">
        <v>20905</v>
      </c>
      <c r="B81" s="263" t="s">
        <v>4953</v>
      </c>
      <c r="C81" s="252">
        <v>815183020772</v>
      </c>
      <c r="D81" s="253" t="s">
        <v>202</v>
      </c>
      <c r="E81" s="254" t="s">
        <v>3367</v>
      </c>
      <c r="F81" s="282">
        <v>45251</v>
      </c>
    </row>
    <row r="82" spans="1:6" x14ac:dyDescent="0.3">
      <c r="A82" s="280">
        <v>547000</v>
      </c>
      <c r="B82" s="263" t="s">
        <v>4950</v>
      </c>
      <c r="C82" s="252" t="str">
        <f>"727530560520"</f>
        <v>727530560520</v>
      </c>
      <c r="D82" s="253" t="s">
        <v>25</v>
      </c>
      <c r="E82" s="254" t="s">
        <v>3367</v>
      </c>
      <c r="F82" s="282">
        <v>45272</v>
      </c>
    </row>
    <row r="83" spans="1:6" x14ac:dyDescent="0.3">
      <c r="A83" s="280">
        <v>560805</v>
      </c>
      <c r="B83" s="263" t="s">
        <v>4951</v>
      </c>
      <c r="C83" s="252" t="str">
        <f>"727530560513"</f>
        <v>727530560513</v>
      </c>
      <c r="D83" s="253" t="s">
        <v>25</v>
      </c>
      <c r="E83" s="254" t="s">
        <v>3367</v>
      </c>
      <c r="F83" s="282">
        <v>45272</v>
      </c>
    </row>
    <row r="84" spans="1:6" x14ac:dyDescent="0.3">
      <c r="A84" s="280">
        <v>582668</v>
      </c>
      <c r="B84" s="263" t="s">
        <v>4952</v>
      </c>
      <c r="C84" s="252" t="str">
        <f>"727530560841"</f>
        <v>727530560841</v>
      </c>
      <c r="D84" s="253" t="s">
        <v>25</v>
      </c>
      <c r="E84" s="254" t="s">
        <v>3367</v>
      </c>
      <c r="F84" s="282">
        <v>45272</v>
      </c>
    </row>
    <row r="85" spans="1:6" x14ac:dyDescent="0.3">
      <c r="A85" s="280">
        <v>645408</v>
      </c>
      <c r="B85" s="263" t="s">
        <v>3691</v>
      </c>
      <c r="C85" s="252" t="str">
        <f>"727530561404"</f>
        <v>727530561404</v>
      </c>
      <c r="D85" s="253" t="s">
        <v>25</v>
      </c>
      <c r="E85" s="254" t="s">
        <v>3367</v>
      </c>
      <c r="F85" s="282">
        <v>45272</v>
      </c>
    </row>
    <row r="86" spans="1:6" x14ac:dyDescent="0.3">
      <c r="A86" s="280">
        <v>17254</v>
      </c>
      <c r="B86" s="263" t="s">
        <v>4945</v>
      </c>
      <c r="C86" s="252" t="str">
        <f>"4004591037021"</f>
        <v>4004591037021</v>
      </c>
      <c r="D86" s="253" t="s">
        <v>48</v>
      </c>
      <c r="E86" s="254" t="s">
        <v>3367</v>
      </c>
      <c r="F86" s="282">
        <v>45272</v>
      </c>
    </row>
    <row r="87" spans="1:6" x14ac:dyDescent="0.3">
      <c r="A87" s="280">
        <v>22234</v>
      </c>
      <c r="B87" s="263" t="s">
        <v>3716</v>
      </c>
      <c r="C87" s="252" t="str">
        <f>"855315006816"</f>
        <v>855315006816</v>
      </c>
      <c r="D87" s="253" t="s">
        <v>60</v>
      </c>
      <c r="E87" s="254" t="s">
        <v>3367</v>
      </c>
      <c r="F87" s="282">
        <v>45272</v>
      </c>
    </row>
    <row r="88" spans="1:6" x14ac:dyDescent="0.3">
      <c r="A88" s="280">
        <v>25390</v>
      </c>
      <c r="B88" s="263" t="s">
        <v>4946</v>
      </c>
      <c r="C88" s="252" t="str">
        <f>"855315007110"</f>
        <v>855315007110</v>
      </c>
      <c r="D88" s="253" t="s">
        <v>25</v>
      </c>
      <c r="E88" s="254" t="s">
        <v>3367</v>
      </c>
      <c r="F88" s="282">
        <v>45272</v>
      </c>
    </row>
    <row r="89" spans="1:6" x14ac:dyDescent="0.3">
      <c r="A89" s="280">
        <v>32057</v>
      </c>
      <c r="B89" s="263" t="s">
        <v>4947</v>
      </c>
      <c r="C89" s="252" t="str">
        <f>"062067404948"</f>
        <v>062067404948</v>
      </c>
      <c r="D89" s="253" t="s">
        <v>98</v>
      </c>
      <c r="E89" s="254" t="s">
        <v>3367</v>
      </c>
      <c r="F89" s="282">
        <v>45272</v>
      </c>
    </row>
    <row r="90" spans="1:6" x14ac:dyDescent="0.3">
      <c r="A90" s="280">
        <v>32059</v>
      </c>
      <c r="B90" s="263" t="s">
        <v>4948</v>
      </c>
      <c r="C90" s="252" t="str">
        <f>"062067409998"</f>
        <v>062067409998</v>
      </c>
      <c r="D90" s="253" t="s">
        <v>25</v>
      </c>
      <c r="E90" s="254" t="s">
        <v>3367</v>
      </c>
      <c r="F90" s="282">
        <v>45272</v>
      </c>
    </row>
    <row r="91" spans="1:6" x14ac:dyDescent="0.3">
      <c r="A91" s="280">
        <v>33283</v>
      </c>
      <c r="B91" s="263" t="s">
        <v>4949</v>
      </c>
      <c r="C91" s="252" t="str">
        <f>"793888273771"</f>
        <v>793888273771</v>
      </c>
      <c r="D91" s="253" t="s">
        <v>25</v>
      </c>
      <c r="E91" s="254" t="s">
        <v>3367</v>
      </c>
      <c r="F91" s="282">
        <v>45272</v>
      </c>
    </row>
    <row r="92" spans="1:6" x14ac:dyDescent="0.3">
      <c r="A92" s="280">
        <v>11173</v>
      </c>
      <c r="B92" s="263" t="s">
        <v>4423</v>
      </c>
      <c r="C92" s="252">
        <v>627843303176</v>
      </c>
      <c r="D92" s="253" t="s">
        <v>25</v>
      </c>
      <c r="E92" s="254" t="s">
        <v>3367</v>
      </c>
      <c r="F92" s="282">
        <v>45247</v>
      </c>
    </row>
    <row r="93" spans="1:6" x14ac:dyDescent="0.3">
      <c r="A93" s="280">
        <v>31748</v>
      </c>
      <c r="B93" s="263" t="s">
        <v>4944</v>
      </c>
      <c r="C93" s="252">
        <v>627843303244</v>
      </c>
      <c r="D93" s="253" t="s">
        <v>25</v>
      </c>
      <c r="E93" s="254" t="s">
        <v>3367</v>
      </c>
      <c r="F93" s="282">
        <v>45247</v>
      </c>
    </row>
    <row r="94" spans="1:6" x14ac:dyDescent="0.3">
      <c r="A94" s="280">
        <v>10105</v>
      </c>
      <c r="B94" s="263" t="s">
        <v>4938</v>
      </c>
      <c r="C94" s="252" t="str">
        <f>"6278439349128"</f>
        <v>6278439349128</v>
      </c>
      <c r="D94" s="253" t="s">
        <v>25</v>
      </c>
      <c r="E94" s="254" t="s">
        <v>3367</v>
      </c>
      <c r="F94" s="282">
        <v>45246</v>
      </c>
    </row>
    <row r="95" spans="1:6" x14ac:dyDescent="0.3">
      <c r="A95" s="280">
        <v>16883</v>
      </c>
      <c r="B95" s="263" t="s">
        <v>4939</v>
      </c>
      <c r="C95" s="252" t="str">
        <f>"685757999571"</f>
        <v>685757999571</v>
      </c>
      <c r="D95" s="253" t="s">
        <v>25</v>
      </c>
      <c r="E95" s="254" t="s">
        <v>3367</v>
      </c>
      <c r="F95" s="282">
        <v>45246</v>
      </c>
    </row>
    <row r="96" spans="1:6" x14ac:dyDescent="0.3">
      <c r="A96" s="280">
        <v>32056</v>
      </c>
      <c r="B96" s="263" t="s">
        <v>4940</v>
      </c>
      <c r="C96" s="252" t="str">
        <f>"062067407970"</f>
        <v>062067407970</v>
      </c>
      <c r="D96" s="253" t="s">
        <v>25</v>
      </c>
      <c r="E96" s="254" t="s">
        <v>3367</v>
      </c>
      <c r="F96" s="282">
        <v>45246</v>
      </c>
    </row>
    <row r="97" spans="1:6" x14ac:dyDescent="0.3">
      <c r="A97" s="280">
        <v>32716</v>
      </c>
      <c r="B97" s="263" t="s">
        <v>4941</v>
      </c>
      <c r="C97" s="252" t="str">
        <f>"627005032319"</f>
        <v>627005032319</v>
      </c>
      <c r="D97" s="253" t="s">
        <v>98</v>
      </c>
      <c r="E97" s="254" t="s">
        <v>3367</v>
      </c>
      <c r="F97" s="282">
        <v>45246</v>
      </c>
    </row>
    <row r="98" spans="1:6" x14ac:dyDescent="0.3">
      <c r="A98" s="280">
        <v>33028</v>
      </c>
      <c r="B98" s="263" t="s">
        <v>4942</v>
      </c>
      <c r="C98" s="252" t="str">
        <f>"628679977876"</f>
        <v>628679977876</v>
      </c>
      <c r="D98" s="253" t="s">
        <v>98</v>
      </c>
      <c r="E98" s="254" t="s">
        <v>3367</v>
      </c>
      <c r="F98" s="282">
        <v>45246</v>
      </c>
    </row>
    <row r="99" spans="1:6" x14ac:dyDescent="0.3">
      <c r="A99" s="280">
        <v>582700</v>
      </c>
      <c r="B99" s="263" t="s">
        <v>4943</v>
      </c>
      <c r="C99" s="252" t="str">
        <f>"627843731740"</f>
        <v>627843731740</v>
      </c>
      <c r="D99" s="253" t="s">
        <v>25</v>
      </c>
      <c r="E99" s="254" t="s">
        <v>3367</v>
      </c>
      <c r="F99" s="282">
        <v>45246</v>
      </c>
    </row>
    <row r="100" spans="1:6" x14ac:dyDescent="0.3">
      <c r="A100" s="280">
        <v>446906</v>
      </c>
      <c r="B100" s="263" t="s">
        <v>3135</v>
      </c>
      <c r="C100" s="252" t="str">
        <f>"742832060820"</f>
        <v>742832060820</v>
      </c>
      <c r="D100" s="253" t="s">
        <v>124</v>
      </c>
      <c r="E100" s="254" t="s">
        <v>3367</v>
      </c>
      <c r="F100" s="282">
        <v>45238</v>
      </c>
    </row>
    <row r="101" spans="1:6" x14ac:dyDescent="0.3">
      <c r="A101" s="280">
        <v>576553</v>
      </c>
      <c r="B101" s="263" t="s">
        <v>4937</v>
      </c>
      <c r="C101" s="252" t="str">
        <f>"793573902061"</f>
        <v>793573902061</v>
      </c>
      <c r="D101" s="253" t="s">
        <v>25</v>
      </c>
      <c r="E101" s="254" t="s">
        <v>3367</v>
      </c>
      <c r="F101" s="282">
        <v>45238</v>
      </c>
    </row>
    <row r="102" spans="1:6" x14ac:dyDescent="0.3">
      <c r="A102" s="280">
        <v>474072</v>
      </c>
      <c r="B102" s="263" t="s">
        <v>3134</v>
      </c>
      <c r="C102" s="252" t="str">
        <f>"742832060875"</f>
        <v>742832060875</v>
      </c>
      <c r="D102" s="253" t="s">
        <v>25</v>
      </c>
      <c r="E102" s="254" t="s">
        <v>3367</v>
      </c>
      <c r="F102" s="282">
        <v>45238</v>
      </c>
    </row>
    <row r="103" spans="1:6" x14ac:dyDescent="0.3">
      <c r="A103" s="280">
        <v>462044</v>
      </c>
      <c r="B103" s="263" t="s">
        <v>4935</v>
      </c>
      <c r="C103" s="252" t="str">
        <f>"627843582182"</f>
        <v>627843582182</v>
      </c>
      <c r="D103" s="253" t="s">
        <v>25</v>
      </c>
      <c r="E103" s="254" t="s">
        <v>3367</v>
      </c>
      <c r="F103" s="282">
        <v>45238</v>
      </c>
    </row>
    <row r="104" spans="1:6" x14ac:dyDescent="0.3">
      <c r="A104" s="280">
        <v>507913</v>
      </c>
      <c r="B104" s="263" t="s">
        <v>4936</v>
      </c>
      <c r="C104" s="252" t="str">
        <f>"627843582199"</f>
        <v>627843582199</v>
      </c>
      <c r="D104" s="253" t="s">
        <v>25</v>
      </c>
      <c r="E104" s="254" t="s">
        <v>3367</v>
      </c>
      <c r="F104" s="282">
        <v>45238</v>
      </c>
    </row>
    <row r="105" spans="1:6" x14ac:dyDescent="0.3">
      <c r="A105" s="280">
        <v>15994</v>
      </c>
      <c r="B105" s="263" t="s">
        <v>3014</v>
      </c>
      <c r="C105" s="252" t="str">
        <f>"628669091940"</f>
        <v>628669091940</v>
      </c>
      <c r="D105" s="253" t="s">
        <v>25</v>
      </c>
      <c r="E105" s="254" t="s">
        <v>3367</v>
      </c>
      <c r="F105" s="282">
        <v>45258</v>
      </c>
    </row>
    <row r="106" spans="1:6" x14ac:dyDescent="0.3">
      <c r="A106" s="280">
        <v>31456</v>
      </c>
      <c r="B106" s="263" t="s">
        <v>4919</v>
      </c>
      <c r="C106" s="252" t="str">
        <f>"628669094149"</f>
        <v>628669094149</v>
      </c>
      <c r="D106" s="253" t="s">
        <v>25</v>
      </c>
      <c r="E106" s="254" t="s">
        <v>3367</v>
      </c>
      <c r="F106" s="282">
        <v>45258</v>
      </c>
    </row>
    <row r="107" spans="1:6" x14ac:dyDescent="0.3">
      <c r="A107" s="280">
        <v>32807</v>
      </c>
      <c r="B107" s="263" t="s">
        <v>4931</v>
      </c>
      <c r="C107" s="252" t="str">
        <f>"628669094224"</f>
        <v>628669094224</v>
      </c>
      <c r="D107" s="253" t="s">
        <v>25</v>
      </c>
      <c r="E107" s="254" t="s">
        <v>3367</v>
      </c>
      <c r="F107" s="282">
        <v>45258</v>
      </c>
    </row>
    <row r="108" spans="1:6" x14ac:dyDescent="0.3">
      <c r="A108" s="280">
        <v>32808</v>
      </c>
      <c r="B108" s="263" t="s">
        <v>4932</v>
      </c>
      <c r="C108" s="252" t="str">
        <f>"628669094231"</f>
        <v>628669094231</v>
      </c>
      <c r="D108" s="253" t="s">
        <v>2213</v>
      </c>
      <c r="E108" s="254" t="s">
        <v>3367</v>
      </c>
      <c r="F108" s="282">
        <v>45258</v>
      </c>
    </row>
    <row r="109" spans="1:6" x14ac:dyDescent="0.3">
      <c r="A109" s="280">
        <v>33580</v>
      </c>
      <c r="B109" s="263" t="s">
        <v>4933</v>
      </c>
      <c r="C109" s="252" t="str">
        <f>"186360051866"</f>
        <v>186360051866</v>
      </c>
      <c r="D109" s="253" t="s">
        <v>25</v>
      </c>
      <c r="E109" s="254" t="s">
        <v>3367</v>
      </c>
      <c r="F109" s="282">
        <v>45258</v>
      </c>
    </row>
    <row r="110" spans="1:6" x14ac:dyDescent="0.3">
      <c r="A110" s="280">
        <v>22576</v>
      </c>
      <c r="B110" s="263" t="s">
        <v>4934</v>
      </c>
      <c r="C110" s="252" t="str">
        <f>"877966000036"</f>
        <v>877966000036</v>
      </c>
      <c r="D110" s="253" t="s">
        <v>25</v>
      </c>
      <c r="E110" s="254" t="s">
        <v>3367</v>
      </c>
      <c r="F110" s="282">
        <v>45258</v>
      </c>
    </row>
    <row r="111" spans="1:6" x14ac:dyDescent="0.3">
      <c r="A111" s="280">
        <v>486647</v>
      </c>
      <c r="B111" s="263" t="s">
        <v>4929</v>
      </c>
      <c r="C111" s="252">
        <v>803289405456</v>
      </c>
      <c r="D111" s="253" t="s">
        <v>202</v>
      </c>
      <c r="E111" s="254" t="s">
        <v>4930</v>
      </c>
      <c r="F111" s="282">
        <v>45237</v>
      </c>
    </row>
    <row r="112" spans="1:6" ht="27.95" x14ac:dyDescent="0.3">
      <c r="A112" s="280">
        <v>19661</v>
      </c>
      <c r="B112" s="263" t="s">
        <v>4928</v>
      </c>
      <c r="C112" s="252">
        <v>3049614003417</v>
      </c>
      <c r="D112" s="253" t="s">
        <v>202</v>
      </c>
      <c r="E112" s="260" t="s">
        <v>4927</v>
      </c>
      <c r="F112" s="282">
        <v>45237</v>
      </c>
    </row>
    <row r="113" spans="1:6" x14ac:dyDescent="0.3">
      <c r="A113" s="280">
        <v>21503</v>
      </c>
      <c r="B113" s="263" t="s">
        <v>4926</v>
      </c>
      <c r="C113" s="252" t="str">
        <f>"628451784227"</f>
        <v>628451784227</v>
      </c>
      <c r="D113" s="253" t="s">
        <v>124</v>
      </c>
      <c r="E113" s="254" t="s">
        <v>3367</v>
      </c>
      <c r="F113" s="282">
        <v>45230</v>
      </c>
    </row>
    <row r="114" spans="1:6" x14ac:dyDescent="0.3">
      <c r="A114" s="280">
        <v>688499</v>
      </c>
      <c r="B114" s="263" t="s">
        <v>4925</v>
      </c>
      <c r="C114" s="252">
        <v>776409000353</v>
      </c>
      <c r="D114" s="253" t="s">
        <v>202</v>
      </c>
      <c r="E114" s="254" t="s">
        <v>3367</v>
      </c>
      <c r="F114" s="282">
        <v>45245</v>
      </c>
    </row>
    <row r="115" spans="1:6" x14ac:dyDescent="0.3">
      <c r="A115" s="280">
        <v>678698</v>
      </c>
      <c r="B115" s="263" t="s">
        <v>4921</v>
      </c>
      <c r="C115" s="252" t="s">
        <v>4924</v>
      </c>
      <c r="D115" s="253" t="s">
        <v>202</v>
      </c>
      <c r="E115" s="254" t="s">
        <v>3367</v>
      </c>
      <c r="F115" s="282">
        <v>45245</v>
      </c>
    </row>
    <row r="116" spans="1:6" x14ac:dyDescent="0.3">
      <c r="A116" s="280">
        <v>17747</v>
      </c>
      <c r="B116" s="263" t="s">
        <v>4922</v>
      </c>
      <c r="C116" s="252" t="s">
        <v>4923</v>
      </c>
      <c r="D116" s="253" t="s">
        <v>202</v>
      </c>
      <c r="E116" s="254" t="s">
        <v>3367</v>
      </c>
      <c r="F116" s="282">
        <v>45245</v>
      </c>
    </row>
    <row r="117" spans="1:6" x14ac:dyDescent="0.3">
      <c r="A117" s="280">
        <v>27787</v>
      </c>
      <c r="B117" s="263" t="s">
        <v>4920</v>
      </c>
      <c r="C117" s="252" t="str">
        <f>"628055731627"</f>
        <v>628055731627</v>
      </c>
      <c r="D117" s="253" t="s">
        <v>124</v>
      </c>
      <c r="E117" s="254" t="s">
        <v>3367</v>
      </c>
      <c r="F117" s="282">
        <v>45245</v>
      </c>
    </row>
    <row r="118" spans="1:6" x14ac:dyDescent="0.3">
      <c r="A118" s="280">
        <v>31456</v>
      </c>
      <c r="B118" s="263" t="s">
        <v>4919</v>
      </c>
      <c r="C118" s="252" t="str">
        <f>"628669094149"</f>
        <v>628669094149</v>
      </c>
      <c r="D118" s="253" t="s">
        <v>25</v>
      </c>
      <c r="E118" s="254" t="s">
        <v>3367</v>
      </c>
      <c r="F118" s="282">
        <v>45245</v>
      </c>
    </row>
    <row r="119" spans="1:6" x14ac:dyDescent="0.3">
      <c r="A119" s="280">
        <v>620096</v>
      </c>
      <c r="B119" s="263" t="s">
        <v>4918</v>
      </c>
      <c r="C119" s="252">
        <v>402492004076</v>
      </c>
      <c r="D119" s="253" t="s">
        <v>202</v>
      </c>
      <c r="E119" s="254" t="s">
        <v>3367</v>
      </c>
      <c r="F119" s="282">
        <v>45237</v>
      </c>
    </row>
    <row r="120" spans="1:6" x14ac:dyDescent="0.3">
      <c r="A120" s="280">
        <v>18342</v>
      </c>
      <c r="B120" s="263" t="s">
        <v>4916</v>
      </c>
      <c r="C120" s="252" t="str">
        <f>"628110802897"</f>
        <v>628110802897</v>
      </c>
      <c r="D120" s="253" t="s">
        <v>25</v>
      </c>
      <c r="E120" s="254" t="s">
        <v>4917</v>
      </c>
      <c r="F120" s="282">
        <v>45220</v>
      </c>
    </row>
    <row r="121" spans="1:6" x14ac:dyDescent="0.3">
      <c r="A121" s="280">
        <v>498071</v>
      </c>
      <c r="B121" s="263" t="s">
        <v>1076</v>
      </c>
      <c r="C121" s="252">
        <v>874537000075</v>
      </c>
      <c r="D121" s="253" t="s">
        <v>202</v>
      </c>
      <c r="E121" s="254" t="s">
        <v>3367</v>
      </c>
      <c r="F121" s="282">
        <v>45237</v>
      </c>
    </row>
    <row r="122" spans="1:6" x14ac:dyDescent="0.3">
      <c r="A122" s="280">
        <v>326256</v>
      </c>
      <c r="B122" s="263" t="s">
        <v>4915</v>
      </c>
      <c r="C122" s="252">
        <v>627167099533</v>
      </c>
      <c r="D122" s="253" t="s">
        <v>202</v>
      </c>
      <c r="E122" s="254" t="s">
        <v>3367</v>
      </c>
      <c r="F122" s="282">
        <v>45223</v>
      </c>
    </row>
    <row r="123" spans="1:6" x14ac:dyDescent="0.3">
      <c r="A123" s="280">
        <v>33446</v>
      </c>
      <c r="B123" s="263" t="s">
        <v>4913</v>
      </c>
      <c r="C123" s="252" t="str">
        <f>"180288000050"</f>
        <v>180288000050</v>
      </c>
      <c r="D123" s="253" t="s">
        <v>25</v>
      </c>
      <c r="E123" s="254" t="s">
        <v>3367</v>
      </c>
      <c r="F123" s="282">
        <v>45245</v>
      </c>
    </row>
    <row r="124" spans="1:6" x14ac:dyDescent="0.3">
      <c r="A124" s="280">
        <v>34144</v>
      </c>
      <c r="B124" s="263" t="s">
        <v>4911</v>
      </c>
      <c r="C124" s="252" t="str">
        <f>"196852981267"</f>
        <v>196852981267</v>
      </c>
      <c r="D124" s="253" t="s">
        <v>285</v>
      </c>
      <c r="E124" s="254" t="s">
        <v>4912</v>
      </c>
      <c r="F124" s="282">
        <v>45218</v>
      </c>
    </row>
    <row r="125" spans="1:6" x14ac:dyDescent="0.3">
      <c r="A125" s="280">
        <v>34302</v>
      </c>
      <c r="B125" s="263" t="s">
        <v>4910</v>
      </c>
      <c r="C125" s="252" t="str">
        <f>"702915002482"</f>
        <v>702915002482</v>
      </c>
      <c r="D125" s="253" t="s">
        <v>1739</v>
      </c>
      <c r="E125" s="254" t="s">
        <v>3367</v>
      </c>
      <c r="F125" s="282">
        <v>45219</v>
      </c>
    </row>
    <row r="126" spans="1:6" x14ac:dyDescent="0.3">
      <c r="A126" s="280">
        <v>334276</v>
      </c>
      <c r="B126" s="263" t="s">
        <v>4909</v>
      </c>
      <c r="C126" s="252" t="str">
        <f>"40678733"</f>
        <v>40678733</v>
      </c>
      <c r="D126" s="253" t="s">
        <v>48</v>
      </c>
      <c r="E126" s="254" t="s">
        <v>3367</v>
      </c>
      <c r="F126" s="282">
        <v>45245</v>
      </c>
    </row>
    <row r="127" spans="1:6" x14ac:dyDescent="0.3">
      <c r="A127" s="280">
        <v>448209</v>
      </c>
      <c r="B127" s="263" t="s">
        <v>4908</v>
      </c>
      <c r="C127" s="252" t="str">
        <f>"856217000148"</f>
        <v>856217000148</v>
      </c>
      <c r="D127" s="253" t="s">
        <v>25</v>
      </c>
      <c r="E127" s="254" t="s">
        <v>3367</v>
      </c>
      <c r="F127" s="282">
        <v>45245</v>
      </c>
    </row>
    <row r="128" spans="1:6" x14ac:dyDescent="0.3">
      <c r="A128" s="280">
        <v>31570</v>
      </c>
      <c r="B128" s="263" t="s">
        <v>4907</v>
      </c>
      <c r="C128" s="252" t="str">
        <f>"628678552074"</f>
        <v>628678552074</v>
      </c>
      <c r="D128" s="253" t="s">
        <v>25</v>
      </c>
      <c r="E128" s="254" t="s">
        <v>3367</v>
      </c>
      <c r="F128" s="282">
        <v>45237</v>
      </c>
    </row>
    <row r="129" spans="1:6" x14ac:dyDescent="0.3">
      <c r="A129" s="280">
        <v>571786</v>
      </c>
      <c r="B129" s="263" t="s">
        <v>2575</v>
      </c>
      <c r="C129" s="252" t="str">
        <f>"779373398761"</f>
        <v>779373398761</v>
      </c>
      <c r="D129" s="253" t="s">
        <v>25</v>
      </c>
      <c r="E129" s="254" t="s">
        <v>3367</v>
      </c>
      <c r="F129" s="282">
        <v>45237</v>
      </c>
    </row>
    <row r="130" spans="1:6" x14ac:dyDescent="0.3">
      <c r="A130" s="280">
        <v>288365</v>
      </c>
      <c r="B130" s="263" t="s">
        <v>4906</v>
      </c>
      <c r="C130" s="252" t="str">
        <f>"40678924"</f>
        <v>40678924</v>
      </c>
      <c r="D130" s="253" t="s">
        <v>48</v>
      </c>
      <c r="E130" s="254" t="s">
        <v>3367</v>
      </c>
      <c r="F130" s="282">
        <v>45237</v>
      </c>
    </row>
    <row r="131" spans="1:6" x14ac:dyDescent="0.3">
      <c r="A131" s="280">
        <v>432856</v>
      </c>
      <c r="B131" s="263" t="s">
        <v>821</v>
      </c>
      <c r="C131" s="252" t="str">
        <f>"42221289"</f>
        <v>42221289</v>
      </c>
      <c r="D131" s="253" t="s">
        <v>48</v>
      </c>
      <c r="E131" s="254" t="s">
        <v>3367</v>
      </c>
      <c r="F131" s="282">
        <v>45237</v>
      </c>
    </row>
    <row r="132" spans="1:6" x14ac:dyDescent="0.3">
      <c r="A132" s="280">
        <v>20661</v>
      </c>
      <c r="B132" s="263" t="s">
        <v>4185</v>
      </c>
      <c r="C132" s="252" t="str">
        <f>"627987546118"</f>
        <v>627987546118</v>
      </c>
      <c r="D132" s="253" t="s">
        <v>98</v>
      </c>
      <c r="E132" s="254" t="s">
        <v>4904</v>
      </c>
      <c r="F132" s="282">
        <v>45211</v>
      </c>
    </row>
    <row r="133" spans="1:6" x14ac:dyDescent="0.3">
      <c r="A133" s="280">
        <v>33272</v>
      </c>
      <c r="B133" s="263" t="s">
        <v>4901</v>
      </c>
      <c r="C133" s="252" t="str">
        <f>"627987546088"</f>
        <v>627987546088</v>
      </c>
      <c r="D133" s="253" t="s">
        <v>25</v>
      </c>
      <c r="E133" s="254" t="s">
        <v>4904</v>
      </c>
      <c r="F133" s="282">
        <v>45211</v>
      </c>
    </row>
    <row r="134" spans="1:6" x14ac:dyDescent="0.3">
      <c r="A134" s="280">
        <v>24559</v>
      </c>
      <c r="B134" s="263" t="s">
        <v>4902</v>
      </c>
      <c r="C134" s="252" t="str">
        <f>"628055731535"</f>
        <v>628055731535</v>
      </c>
      <c r="D134" s="253" t="s">
        <v>25</v>
      </c>
      <c r="E134" s="254" t="s">
        <v>3367</v>
      </c>
      <c r="F134" s="282">
        <v>45211</v>
      </c>
    </row>
    <row r="135" spans="1:6" x14ac:dyDescent="0.3">
      <c r="A135" s="280">
        <v>30366</v>
      </c>
      <c r="B135" s="263" t="s">
        <v>4903</v>
      </c>
      <c r="C135" s="252" t="str">
        <f>"793888279575"</f>
        <v>793888279575</v>
      </c>
      <c r="D135" s="253" t="s">
        <v>25</v>
      </c>
      <c r="E135" s="254" t="s">
        <v>3367</v>
      </c>
      <c r="F135" s="282">
        <v>45230</v>
      </c>
    </row>
    <row r="136" spans="1:6" x14ac:dyDescent="0.3">
      <c r="A136" s="280">
        <v>30690</v>
      </c>
      <c r="B136" s="263" t="s">
        <v>4900</v>
      </c>
      <c r="C136" s="252" t="str">
        <f>"627987684964"</f>
        <v>627987684964</v>
      </c>
      <c r="D136" s="253" t="s">
        <v>25</v>
      </c>
      <c r="E136" s="254" t="s">
        <v>3367</v>
      </c>
      <c r="F136" s="282">
        <v>45210</v>
      </c>
    </row>
    <row r="137" spans="1:6" x14ac:dyDescent="0.3">
      <c r="A137" s="280">
        <v>279539</v>
      </c>
      <c r="B137" s="263" t="s">
        <v>764</v>
      </c>
      <c r="C137" s="252" t="str">
        <f>"020707105044"</f>
        <v>020707105044</v>
      </c>
      <c r="D137" s="253" t="s">
        <v>25</v>
      </c>
      <c r="E137" s="254" t="s">
        <v>3367</v>
      </c>
      <c r="F137" s="282">
        <v>45230</v>
      </c>
    </row>
    <row r="138" spans="1:6" ht="27.95" x14ac:dyDescent="0.3">
      <c r="A138" s="280">
        <v>326975</v>
      </c>
      <c r="B138" s="263" t="s">
        <v>3566</v>
      </c>
      <c r="C138" s="252">
        <v>836460000027</v>
      </c>
      <c r="D138" s="253" t="s">
        <v>202</v>
      </c>
      <c r="E138" s="260" t="s">
        <v>4914</v>
      </c>
      <c r="F138" s="282">
        <v>45202</v>
      </c>
    </row>
    <row r="139" spans="1:6" x14ac:dyDescent="0.3">
      <c r="A139" s="280">
        <v>21659</v>
      </c>
      <c r="B139" s="263" t="s">
        <v>4897</v>
      </c>
      <c r="C139" s="252" t="s">
        <v>4898</v>
      </c>
      <c r="D139" s="253" t="s">
        <v>202</v>
      </c>
      <c r="E139" s="254" t="s">
        <v>3367</v>
      </c>
      <c r="F139" s="282">
        <v>45202</v>
      </c>
    </row>
    <row r="140" spans="1:6" x14ac:dyDescent="0.3">
      <c r="A140" s="280">
        <v>482026</v>
      </c>
      <c r="B140" s="263" t="s">
        <v>3116</v>
      </c>
      <c r="C140" s="252">
        <v>3185370074831</v>
      </c>
      <c r="D140" s="253" t="s">
        <v>202</v>
      </c>
      <c r="E140" s="260" t="s">
        <v>4899</v>
      </c>
      <c r="F140" s="282">
        <v>45223</v>
      </c>
    </row>
    <row r="141" spans="1:6" x14ac:dyDescent="0.3">
      <c r="A141" s="280">
        <v>285585</v>
      </c>
      <c r="B141" s="263" t="s">
        <v>3091</v>
      </c>
      <c r="C141" s="252">
        <v>8002062000037</v>
      </c>
      <c r="D141" s="253" t="s">
        <v>202</v>
      </c>
      <c r="E141" s="260" t="s">
        <v>4896</v>
      </c>
      <c r="F141" s="282">
        <v>45216</v>
      </c>
    </row>
    <row r="142" spans="1:6" x14ac:dyDescent="0.3">
      <c r="A142" s="280">
        <v>218644</v>
      </c>
      <c r="B142" s="263" t="s">
        <v>4894</v>
      </c>
      <c r="C142" s="252">
        <v>7804330311101</v>
      </c>
      <c r="D142" s="253" t="s">
        <v>202</v>
      </c>
      <c r="E142" s="254" t="s">
        <v>3367</v>
      </c>
      <c r="F142" s="282">
        <v>45202</v>
      </c>
    </row>
    <row r="143" spans="1:6" x14ac:dyDescent="0.3">
      <c r="A143" s="280">
        <v>31796</v>
      </c>
      <c r="B143" s="263" t="s">
        <v>4895</v>
      </c>
      <c r="C143" s="252">
        <v>8008863071450</v>
      </c>
      <c r="D143" s="253" t="s">
        <v>202</v>
      </c>
      <c r="E143" s="254" t="s">
        <v>3367</v>
      </c>
      <c r="F143" s="282">
        <v>45202</v>
      </c>
    </row>
    <row r="144" spans="1:6" x14ac:dyDescent="0.3">
      <c r="A144" s="280">
        <v>413070</v>
      </c>
      <c r="B144" s="263" t="s">
        <v>4891</v>
      </c>
      <c r="C144" s="252">
        <v>6001497600098</v>
      </c>
      <c r="D144" s="253" t="s">
        <v>496</v>
      </c>
      <c r="E144" s="254" t="s">
        <v>3367</v>
      </c>
      <c r="F144" s="282">
        <v>45202</v>
      </c>
    </row>
    <row r="145" spans="1:6" x14ac:dyDescent="0.3">
      <c r="A145" s="280">
        <v>32542</v>
      </c>
      <c r="B145" s="263" t="s">
        <v>4893</v>
      </c>
      <c r="C145" s="252">
        <v>6001108110152</v>
      </c>
      <c r="D145" s="253" t="s">
        <v>496</v>
      </c>
      <c r="E145" s="254" t="s">
        <v>3367</v>
      </c>
      <c r="F145" s="282">
        <v>45202</v>
      </c>
    </row>
    <row r="146" spans="1:6" x14ac:dyDescent="0.3">
      <c r="A146" s="280">
        <v>413062</v>
      </c>
      <c r="B146" s="263" t="s">
        <v>4892</v>
      </c>
      <c r="C146" s="252">
        <v>6001497600630</v>
      </c>
      <c r="D146" s="253" t="s">
        <v>496</v>
      </c>
      <c r="E146" s="254" t="s">
        <v>3367</v>
      </c>
      <c r="F146" s="282">
        <v>45202</v>
      </c>
    </row>
    <row r="147" spans="1:6" x14ac:dyDescent="0.3">
      <c r="A147" s="280">
        <v>12449</v>
      </c>
      <c r="B147" s="263" t="s">
        <v>4121</v>
      </c>
      <c r="C147" s="252">
        <v>56910002016</v>
      </c>
      <c r="D147" s="253" t="s">
        <v>37</v>
      </c>
      <c r="E147" s="254" t="s">
        <v>3367</v>
      </c>
      <c r="F147" s="282">
        <v>45203</v>
      </c>
    </row>
    <row r="148" spans="1:6" x14ac:dyDescent="0.3">
      <c r="A148" s="280">
        <v>450262</v>
      </c>
      <c r="B148" s="263" t="s">
        <v>4890</v>
      </c>
      <c r="C148" s="252">
        <v>627843499237</v>
      </c>
      <c r="D148" s="253" t="s">
        <v>25</v>
      </c>
      <c r="E148" s="254" t="s">
        <v>3367</v>
      </c>
      <c r="F148" s="282">
        <v>45203</v>
      </c>
    </row>
    <row r="149" spans="1:6" x14ac:dyDescent="0.3">
      <c r="A149" s="280">
        <v>450254</v>
      </c>
      <c r="B149" s="263" t="s">
        <v>4889</v>
      </c>
      <c r="C149" s="252">
        <v>627843232902</v>
      </c>
      <c r="D149" s="253" t="s">
        <v>25</v>
      </c>
      <c r="E149" s="254" t="s">
        <v>3367</v>
      </c>
      <c r="F149" s="282">
        <v>45223</v>
      </c>
    </row>
    <row r="150" spans="1:6" x14ac:dyDescent="0.3">
      <c r="A150" s="280">
        <v>25083</v>
      </c>
      <c r="B150" s="263" t="s">
        <v>4888</v>
      </c>
      <c r="C150" s="252" t="str">
        <f>"870098000530"</f>
        <v>870098000530</v>
      </c>
      <c r="D150" s="253" t="s">
        <v>25</v>
      </c>
      <c r="E150" s="254" t="s">
        <v>3367</v>
      </c>
      <c r="F150" s="282">
        <v>45223</v>
      </c>
    </row>
    <row r="151" spans="1:6" ht="55.9" x14ac:dyDescent="0.3">
      <c r="A151" s="280">
        <v>378158</v>
      </c>
      <c r="B151" s="263" t="s">
        <v>4887</v>
      </c>
      <c r="C151" s="252" t="str">
        <f>"056910406470"</f>
        <v>056910406470</v>
      </c>
      <c r="D151" s="253" t="s">
        <v>98</v>
      </c>
      <c r="E151" s="254" t="s">
        <v>4905</v>
      </c>
      <c r="F151" s="282">
        <v>45223</v>
      </c>
    </row>
    <row r="152" spans="1:6" ht="41.95" x14ac:dyDescent="0.3">
      <c r="A152" s="280">
        <v>431239</v>
      </c>
      <c r="B152" s="263" t="s">
        <v>4883</v>
      </c>
      <c r="C152" s="252" t="str">
        <f>"5741000193006"</f>
        <v>5741000193006</v>
      </c>
      <c r="D152" s="253" t="s">
        <v>48</v>
      </c>
      <c r="E152" s="254" t="s">
        <v>4885</v>
      </c>
      <c r="F152" s="282">
        <v>45223</v>
      </c>
    </row>
    <row r="153" spans="1:6" ht="41.95" x14ac:dyDescent="0.3">
      <c r="A153" s="280">
        <v>696773</v>
      </c>
      <c r="B153" s="263" t="s">
        <v>4884</v>
      </c>
      <c r="C153" s="252" t="str">
        <f>"5741000114940"</f>
        <v>5741000114940</v>
      </c>
      <c r="D153" s="253" t="s">
        <v>48</v>
      </c>
      <c r="E153" s="254" t="s">
        <v>4886</v>
      </c>
      <c r="F153" s="282">
        <v>45223</v>
      </c>
    </row>
    <row r="154" spans="1:6" x14ac:dyDescent="0.3">
      <c r="A154" s="280">
        <v>488429</v>
      </c>
      <c r="B154" s="263" t="s">
        <v>4882</v>
      </c>
      <c r="C154" s="252" t="str">
        <f>"5011348017112"</f>
        <v>5011348017112</v>
      </c>
      <c r="D154" s="253" t="s">
        <v>48</v>
      </c>
      <c r="E154" s="254" t="s">
        <v>3367</v>
      </c>
      <c r="F154" s="282">
        <v>45223</v>
      </c>
    </row>
    <row r="155" spans="1:6" x14ac:dyDescent="0.3">
      <c r="A155" s="280">
        <v>515650</v>
      </c>
      <c r="B155" s="263" t="s">
        <v>4881</v>
      </c>
      <c r="C155" s="252" t="str">
        <f>"878364000017"</f>
        <v>878364000017</v>
      </c>
      <c r="D155" s="253" t="s">
        <v>25</v>
      </c>
      <c r="E155" s="254" t="s">
        <v>3367</v>
      </c>
      <c r="F155" s="282">
        <v>45196</v>
      </c>
    </row>
    <row r="156" spans="1:6" x14ac:dyDescent="0.3">
      <c r="A156" s="280">
        <v>28483</v>
      </c>
      <c r="B156" s="263" t="s">
        <v>4880</v>
      </c>
      <c r="C156" s="252" t="str">
        <f>"834965001303"</f>
        <v>834965001303</v>
      </c>
      <c r="D156" s="253" t="s">
        <v>98</v>
      </c>
      <c r="E156" s="254" t="s">
        <v>3367</v>
      </c>
      <c r="F156" s="282">
        <v>45216</v>
      </c>
    </row>
    <row r="157" spans="1:6" x14ac:dyDescent="0.3">
      <c r="A157" s="280">
        <v>516682</v>
      </c>
      <c r="B157" s="263" t="s">
        <v>4879</v>
      </c>
      <c r="C157" s="252" t="str">
        <f>"5000264003293"</f>
        <v>5000264003293</v>
      </c>
      <c r="D157" s="253" t="s">
        <v>48</v>
      </c>
      <c r="E157" s="254" t="s">
        <v>3367</v>
      </c>
      <c r="F157" s="282">
        <v>45216</v>
      </c>
    </row>
    <row r="158" spans="1:6" x14ac:dyDescent="0.3">
      <c r="A158" s="280">
        <v>18953</v>
      </c>
      <c r="B158" s="263" t="s">
        <v>3651</v>
      </c>
      <c r="C158" s="252">
        <v>9322214014934</v>
      </c>
      <c r="D158" s="253" t="s">
        <v>202</v>
      </c>
      <c r="E158" s="254" t="s">
        <v>3367</v>
      </c>
      <c r="F158" s="282">
        <v>45210</v>
      </c>
    </row>
    <row r="159" spans="1:6" x14ac:dyDescent="0.3">
      <c r="A159" s="280">
        <v>21969</v>
      </c>
      <c r="B159" s="263" t="s">
        <v>4877</v>
      </c>
      <c r="C159" s="252" t="s">
        <v>4878</v>
      </c>
      <c r="D159" s="253" t="s">
        <v>202</v>
      </c>
      <c r="E159" s="254" t="s">
        <v>3367</v>
      </c>
      <c r="F159" s="282">
        <v>45195</v>
      </c>
    </row>
    <row r="160" spans="1:6" x14ac:dyDescent="0.3">
      <c r="A160" s="280">
        <v>424093</v>
      </c>
      <c r="B160" s="263" t="s">
        <v>2546</v>
      </c>
      <c r="C160" s="252" t="str">
        <f>"837763000080"</f>
        <v>837763000080</v>
      </c>
      <c r="D160" s="253" t="s">
        <v>48</v>
      </c>
      <c r="E160" s="254" t="s">
        <v>3367</v>
      </c>
      <c r="F160" s="282">
        <v>45216</v>
      </c>
    </row>
    <row r="161" spans="1:6" x14ac:dyDescent="0.3">
      <c r="A161" s="280">
        <v>540468</v>
      </c>
      <c r="B161" s="263" t="s">
        <v>4876</v>
      </c>
      <c r="C161" s="252" t="str">
        <f>"5900227000676"</f>
        <v>5900227000676</v>
      </c>
      <c r="D161" s="253" t="s">
        <v>48</v>
      </c>
      <c r="E161" s="254" t="s">
        <v>3367</v>
      </c>
      <c r="F161" s="282">
        <v>45216</v>
      </c>
    </row>
    <row r="162" spans="1:6" x14ac:dyDescent="0.3">
      <c r="A162" s="280">
        <v>515098</v>
      </c>
      <c r="B162" s="263" t="s">
        <v>4875</v>
      </c>
      <c r="C162" s="252" t="str">
        <f>"779315375188"</f>
        <v>779315375188</v>
      </c>
      <c r="D162" s="253" t="s">
        <v>25</v>
      </c>
      <c r="E162" s="254" t="s">
        <v>3367</v>
      </c>
      <c r="F162" s="282">
        <v>45209</v>
      </c>
    </row>
    <row r="163" spans="1:6" x14ac:dyDescent="0.3">
      <c r="A163" s="280">
        <v>317057</v>
      </c>
      <c r="B163" s="263" t="s">
        <v>4872</v>
      </c>
      <c r="C163" s="252" t="s">
        <v>4873</v>
      </c>
      <c r="D163" s="253" t="s">
        <v>202</v>
      </c>
      <c r="E163" s="260" t="s">
        <v>4874</v>
      </c>
      <c r="F163" s="282">
        <v>45188</v>
      </c>
    </row>
    <row r="164" spans="1:6" x14ac:dyDescent="0.3">
      <c r="A164" s="280">
        <v>26075</v>
      </c>
      <c r="B164" s="263" t="s">
        <v>4251</v>
      </c>
      <c r="C164" s="252" t="str">
        <f>"674687100072"</f>
        <v>674687100072</v>
      </c>
      <c r="D164" s="253" t="s">
        <v>25</v>
      </c>
      <c r="E164" s="254" t="s">
        <v>3367</v>
      </c>
      <c r="F164" s="282">
        <v>45188</v>
      </c>
    </row>
    <row r="165" spans="1:6" ht="27.95" x14ac:dyDescent="0.3">
      <c r="A165" s="280">
        <v>423137</v>
      </c>
      <c r="B165" s="263" t="s">
        <v>3142</v>
      </c>
      <c r="C165" s="252" t="str">
        <f>"674687100126"</f>
        <v>674687100126</v>
      </c>
      <c r="D165" s="253" t="s">
        <v>25</v>
      </c>
      <c r="E165" s="254" t="s">
        <v>4871</v>
      </c>
      <c r="F165" s="282">
        <v>45209</v>
      </c>
    </row>
    <row r="166" spans="1:6" x14ac:dyDescent="0.3">
      <c r="A166" s="280">
        <v>25397</v>
      </c>
      <c r="B166" s="263" t="s">
        <v>4117</v>
      </c>
      <c r="C166" s="252" t="str">
        <f>"056910300365"</f>
        <v>056910300365</v>
      </c>
      <c r="D166" s="253" t="s">
        <v>37</v>
      </c>
      <c r="E166" s="254" t="s">
        <v>3367</v>
      </c>
      <c r="F166" s="282">
        <v>45209</v>
      </c>
    </row>
    <row r="167" spans="1:6" x14ac:dyDescent="0.3">
      <c r="A167" s="280">
        <v>31952</v>
      </c>
      <c r="B167" s="263" t="s">
        <v>4867</v>
      </c>
      <c r="C167" s="252" t="str">
        <f>"621433061040"</f>
        <v>621433061040</v>
      </c>
      <c r="D167" s="253" t="s">
        <v>25</v>
      </c>
      <c r="E167" s="254" t="s">
        <v>3367</v>
      </c>
      <c r="F167" s="282">
        <v>45188</v>
      </c>
    </row>
    <row r="168" spans="1:6" x14ac:dyDescent="0.3">
      <c r="A168" s="280">
        <v>32066</v>
      </c>
      <c r="B168" s="263" t="s">
        <v>4868</v>
      </c>
      <c r="C168" s="252" t="str">
        <f>"621433084049"</f>
        <v>621433084049</v>
      </c>
      <c r="D168" s="253" t="s">
        <v>25</v>
      </c>
      <c r="E168" s="254" t="s">
        <v>3367</v>
      </c>
      <c r="F168" s="282">
        <v>45188</v>
      </c>
    </row>
    <row r="169" spans="1:6" x14ac:dyDescent="0.3">
      <c r="A169" s="280">
        <v>33029</v>
      </c>
      <c r="B169" s="263" t="s">
        <v>4869</v>
      </c>
      <c r="C169" s="252" t="str">
        <f>"621433059047"</f>
        <v>621433059047</v>
      </c>
      <c r="D169" s="253" t="s">
        <v>25</v>
      </c>
      <c r="E169" s="254" t="s">
        <v>3367</v>
      </c>
      <c r="F169" s="282">
        <v>45209</v>
      </c>
    </row>
    <row r="170" spans="1:6" x14ac:dyDescent="0.3">
      <c r="A170" s="280">
        <v>33030</v>
      </c>
      <c r="B170" s="263" t="s">
        <v>4870</v>
      </c>
      <c r="C170" s="252" t="str">
        <f>"621433071049"</f>
        <v>621433071049</v>
      </c>
      <c r="D170" s="253" t="s">
        <v>25</v>
      </c>
      <c r="E170" s="254" t="s">
        <v>3367</v>
      </c>
      <c r="F170" s="282">
        <v>45209</v>
      </c>
    </row>
    <row r="171" spans="1:6" x14ac:dyDescent="0.3">
      <c r="A171" s="280">
        <v>470906</v>
      </c>
      <c r="B171" s="263" t="s">
        <v>2548</v>
      </c>
      <c r="C171" s="252" t="str">
        <f>"837763000110"</f>
        <v>837763000110</v>
      </c>
      <c r="D171" s="253" t="s">
        <v>48</v>
      </c>
      <c r="E171" s="254" t="s">
        <v>3367</v>
      </c>
      <c r="F171" s="282">
        <v>45185</v>
      </c>
    </row>
    <row r="172" spans="1:6" x14ac:dyDescent="0.3">
      <c r="A172" s="280">
        <v>292557</v>
      </c>
      <c r="B172" s="263" t="s">
        <v>4866</v>
      </c>
      <c r="C172" s="252">
        <v>746925000564</v>
      </c>
      <c r="D172" s="253" t="s">
        <v>202</v>
      </c>
      <c r="E172" s="254" t="s">
        <v>3367</v>
      </c>
      <c r="F172" s="282">
        <v>45183</v>
      </c>
    </row>
    <row r="173" spans="1:6" x14ac:dyDescent="0.3">
      <c r="A173" s="280">
        <v>19271</v>
      </c>
      <c r="B173" s="263" t="s">
        <v>4106</v>
      </c>
      <c r="C173" s="252" t="str">
        <f>"672975229702"</f>
        <v>672975229702</v>
      </c>
      <c r="D173" s="253" t="s">
        <v>1013</v>
      </c>
      <c r="E173" s="254" t="s">
        <v>3367</v>
      </c>
      <c r="F173" s="282">
        <v>45202</v>
      </c>
    </row>
    <row r="174" spans="1:6" x14ac:dyDescent="0.3">
      <c r="A174" s="280">
        <v>20983</v>
      </c>
      <c r="B174" s="263" t="s">
        <v>3547</v>
      </c>
      <c r="C174" s="252" t="str">
        <f>"628504386019"</f>
        <v>628504386019</v>
      </c>
      <c r="D174" s="253" t="s">
        <v>25</v>
      </c>
      <c r="E174" s="254" t="s">
        <v>3367</v>
      </c>
      <c r="F174" s="282">
        <v>45183</v>
      </c>
    </row>
    <row r="175" spans="1:6" x14ac:dyDescent="0.3">
      <c r="A175" s="280">
        <v>25842</v>
      </c>
      <c r="B175" s="263" t="s">
        <v>4865</v>
      </c>
      <c r="C175" s="252">
        <v>851718000376</v>
      </c>
      <c r="D175" s="253" t="s">
        <v>202</v>
      </c>
      <c r="E175" s="254" t="s">
        <v>3367</v>
      </c>
      <c r="F175" s="282">
        <v>45181</v>
      </c>
    </row>
    <row r="176" spans="1:6" x14ac:dyDescent="0.3">
      <c r="A176" s="280">
        <v>83196</v>
      </c>
      <c r="B176" s="263" t="s">
        <v>4864</v>
      </c>
      <c r="C176" s="252">
        <v>819761002136</v>
      </c>
      <c r="D176" s="253" t="s">
        <v>202</v>
      </c>
      <c r="E176" s="254" t="s">
        <v>3367</v>
      </c>
      <c r="F176" s="282">
        <v>45181</v>
      </c>
    </row>
    <row r="177" spans="1:6" x14ac:dyDescent="0.3">
      <c r="A177" s="280">
        <v>13701</v>
      </c>
      <c r="B177" s="263" t="s">
        <v>3006</v>
      </c>
      <c r="C177" s="252" t="str">
        <f>"627987105193"</f>
        <v>627987105193</v>
      </c>
      <c r="D177" s="253" t="s">
        <v>25</v>
      </c>
      <c r="E177" s="254" t="s">
        <v>4863</v>
      </c>
      <c r="F177" s="282">
        <v>45202</v>
      </c>
    </row>
    <row r="178" spans="1:6" x14ac:dyDescent="0.3">
      <c r="A178" s="280">
        <v>907063</v>
      </c>
      <c r="B178" s="263" t="s">
        <v>4862</v>
      </c>
      <c r="C178" s="252" t="str">
        <f>"062067549342"</f>
        <v>062067549342</v>
      </c>
      <c r="D178" s="253" t="s">
        <v>37</v>
      </c>
      <c r="E178" s="254" t="s">
        <v>3367</v>
      </c>
      <c r="F178" s="282">
        <v>45177</v>
      </c>
    </row>
    <row r="179" spans="1:6" x14ac:dyDescent="0.3">
      <c r="A179" s="280">
        <v>648592</v>
      </c>
      <c r="B179" s="263" t="s">
        <v>4861</v>
      </c>
      <c r="C179" s="252">
        <v>727530562609</v>
      </c>
      <c r="D179" s="253" t="s">
        <v>202</v>
      </c>
      <c r="E179" s="254" t="s">
        <v>3367</v>
      </c>
      <c r="F179" s="282">
        <v>45174</v>
      </c>
    </row>
    <row r="180" spans="1:6" x14ac:dyDescent="0.3">
      <c r="A180" s="268">
        <v>533026</v>
      </c>
      <c r="B180" s="251" t="s">
        <v>2796</v>
      </c>
      <c r="C180" s="252">
        <v>8002062012825</v>
      </c>
      <c r="D180" s="253" t="s">
        <v>202</v>
      </c>
      <c r="E180" s="260" t="s">
        <v>4860</v>
      </c>
      <c r="F180" s="282">
        <v>45174</v>
      </c>
    </row>
    <row r="181" spans="1:6" x14ac:dyDescent="0.3">
      <c r="A181" s="280">
        <v>22196</v>
      </c>
      <c r="B181" s="263" t="s">
        <v>4858</v>
      </c>
      <c r="C181" s="252">
        <v>8002062020165</v>
      </c>
      <c r="D181" s="253" t="s">
        <v>202</v>
      </c>
      <c r="E181" s="260" t="s">
        <v>4859</v>
      </c>
      <c r="F181" s="282">
        <v>45174</v>
      </c>
    </row>
    <row r="182" spans="1:6" s="245" customFormat="1" x14ac:dyDescent="0.3">
      <c r="A182" s="268">
        <v>155051</v>
      </c>
      <c r="B182" s="251" t="s">
        <v>2453</v>
      </c>
      <c r="C182" s="252">
        <v>8002062000068</v>
      </c>
      <c r="D182" s="253" t="s">
        <v>202</v>
      </c>
      <c r="E182" s="260" t="s">
        <v>4857</v>
      </c>
      <c r="F182" s="282">
        <v>45174</v>
      </c>
    </row>
    <row r="183" spans="1:6" x14ac:dyDescent="0.3">
      <c r="A183" s="280">
        <v>19965</v>
      </c>
      <c r="B183" s="263" t="s">
        <v>4849</v>
      </c>
      <c r="C183" s="252" t="str">
        <f>"823872330088"</f>
        <v>823872330088</v>
      </c>
      <c r="D183" s="253" t="s">
        <v>25</v>
      </c>
      <c r="E183" s="254" t="s">
        <v>3367</v>
      </c>
      <c r="F183" s="255">
        <v>45195</v>
      </c>
    </row>
    <row r="184" spans="1:6" x14ac:dyDescent="0.3">
      <c r="A184" s="280">
        <v>19985</v>
      </c>
      <c r="B184" s="263" t="s">
        <v>4850</v>
      </c>
      <c r="C184" s="252" t="str">
        <f>"020707190101"</f>
        <v>020707190101</v>
      </c>
      <c r="D184" s="253" t="s">
        <v>25</v>
      </c>
      <c r="E184" s="254" t="s">
        <v>3367</v>
      </c>
      <c r="F184" s="255">
        <v>45195</v>
      </c>
    </row>
    <row r="185" spans="1:6" x14ac:dyDescent="0.3">
      <c r="A185" s="280">
        <v>21262</v>
      </c>
      <c r="B185" s="263" t="s">
        <v>4851</v>
      </c>
      <c r="C185" s="252" t="str">
        <f>"779373398976"</f>
        <v>779373398976</v>
      </c>
      <c r="D185" s="253" t="s">
        <v>25</v>
      </c>
      <c r="E185" s="254" t="s">
        <v>3367</v>
      </c>
      <c r="F185" s="255">
        <v>45195</v>
      </c>
    </row>
    <row r="186" spans="1:6" x14ac:dyDescent="0.3">
      <c r="A186" s="280">
        <v>23065</v>
      </c>
      <c r="B186" s="263" t="s">
        <v>4852</v>
      </c>
      <c r="C186" s="252" t="str">
        <f>"627843303220"</f>
        <v>627843303220</v>
      </c>
      <c r="D186" s="253" t="s">
        <v>25</v>
      </c>
      <c r="E186" s="254" t="s">
        <v>3367</v>
      </c>
      <c r="F186" s="255">
        <v>45195</v>
      </c>
    </row>
    <row r="187" spans="1:6" x14ac:dyDescent="0.3">
      <c r="A187" s="280">
        <v>25039</v>
      </c>
      <c r="B187" s="263" t="s">
        <v>4853</v>
      </c>
      <c r="C187" s="252" t="str">
        <f>"626867211061"</f>
        <v>626867211061</v>
      </c>
      <c r="D187" s="253" t="s">
        <v>25</v>
      </c>
      <c r="E187" s="254" t="s">
        <v>3367</v>
      </c>
      <c r="F187" s="255">
        <v>45195</v>
      </c>
    </row>
    <row r="188" spans="1:6" x14ac:dyDescent="0.3">
      <c r="A188" s="280">
        <v>25042</v>
      </c>
      <c r="B188" s="263" t="s">
        <v>4854</v>
      </c>
      <c r="C188" s="252" t="str">
        <f>"626990366935"</f>
        <v>626990366935</v>
      </c>
      <c r="D188" s="253" t="s">
        <v>25</v>
      </c>
      <c r="E188" s="254" t="s">
        <v>3367</v>
      </c>
      <c r="F188" s="255">
        <v>45195</v>
      </c>
    </row>
    <row r="189" spans="1:6" x14ac:dyDescent="0.3">
      <c r="A189" s="280">
        <v>25123</v>
      </c>
      <c r="B189" s="263" t="s">
        <v>4855</v>
      </c>
      <c r="C189" s="252" t="str">
        <f>"627987848182"</f>
        <v>627987848182</v>
      </c>
      <c r="D189" s="253" t="s">
        <v>25</v>
      </c>
      <c r="E189" s="254" t="s">
        <v>3367</v>
      </c>
      <c r="F189" s="255">
        <v>45195</v>
      </c>
    </row>
    <row r="190" spans="1:6" x14ac:dyDescent="0.3">
      <c r="A190" s="280">
        <v>31751</v>
      </c>
      <c r="B190" s="263" t="s">
        <v>4856</v>
      </c>
      <c r="C190" s="252" t="str">
        <f>"823872331382"</f>
        <v>823872331382</v>
      </c>
      <c r="D190" s="253" t="s">
        <v>25</v>
      </c>
      <c r="E190" s="254" t="s">
        <v>3367</v>
      </c>
      <c r="F190" s="255">
        <v>45195</v>
      </c>
    </row>
    <row r="191" spans="1:6" x14ac:dyDescent="0.3">
      <c r="A191" s="280">
        <v>128009</v>
      </c>
      <c r="B191" s="263" t="s">
        <v>4244</v>
      </c>
      <c r="C191" s="252" t="str">
        <f>"627843757986"</f>
        <v>627843757986</v>
      </c>
      <c r="D191" s="253" t="s">
        <v>25</v>
      </c>
      <c r="E191" s="254" t="s">
        <v>3367</v>
      </c>
      <c r="F191" s="255">
        <v>45195</v>
      </c>
    </row>
    <row r="192" spans="1:6" x14ac:dyDescent="0.3">
      <c r="A192" s="280">
        <v>30216</v>
      </c>
      <c r="B192" s="263" t="s">
        <v>4847</v>
      </c>
      <c r="C192" s="252" t="str">
        <f>"620707123248"</f>
        <v>620707123248</v>
      </c>
      <c r="D192" s="253" t="s">
        <v>25</v>
      </c>
      <c r="E192" s="254" t="s">
        <v>3367</v>
      </c>
      <c r="F192" s="255">
        <v>45169</v>
      </c>
    </row>
    <row r="193" spans="1:6" x14ac:dyDescent="0.3">
      <c r="A193" s="280">
        <v>647180</v>
      </c>
      <c r="B193" s="263" t="s">
        <v>4848</v>
      </c>
      <c r="C193" s="252" t="str">
        <f>"620707018315"</f>
        <v>620707018315</v>
      </c>
      <c r="D193" s="253" t="s">
        <v>25</v>
      </c>
      <c r="E193" s="254" t="s">
        <v>3367</v>
      </c>
      <c r="F193" s="255">
        <v>45169</v>
      </c>
    </row>
    <row r="194" spans="1:6" x14ac:dyDescent="0.3">
      <c r="A194" s="280">
        <v>12858</v>
      </c>
      <c r="B194" s="263" t="s">
        <v>4835</v>
      </c>
      <c r="C194" s="252">
        <v>620707111740</v>
      </c>
      <c r="D194" s="253" t="s">
        <v>25</v>
      </c>
      <c r="E194" s="284" t="s">
        <v>4841</v>
      </c>
      <c r="F194" s="255">
        <v>45230</v>
      </c>
    </row>
    <row r="195" spans="1:6" x14ac:dyDescent="0.3">
      <c r="A195" s="280">
        <v>19655</v>
      </c>
      <c r="B195" s="263" t="s">
        <v>4836</v>
      </c>
      <c r="C195" s="252">
        <v>620707101949</v>
      </c>
      <c r="D195" s="253" t="s">
        <v>25</v>
      </c>
      <c r="E195" s="284" t="s">
        <v>4841</v>
      </c>
      <c r="F195" s="255">
        <v>45230</v>
      </c>
    </row>
    <row r="196" spans="1:6" x14ac:dyDescent="0.3">
      <c r="A196" s="280">
        <v>26620</v>
      </c>
      <c r="B196" s="263" t="s">
        <v>4116</v>
      </c>
      <c r="C196" s="252">
        <v>620707106586</v>
      </c>
      <c r="D196" s="253" t="s">
        <v>98</v>
      </c>
      <c r="E196" s="284" t="s">
        <v>4841</v>
      </c>
      <c r="F196" s="255">
        <v>45230</v>
      </c>
    </row>
    <row r="197" spans="1:6" x14ac:dyDescent="0.3">
      <c r="A197" s="280">
        <v>86439</v>
      </c>
      <c r="B197" s="263" t="s">
        <v>4837</v>
      </c>
      <c r="C197" s="252">
        <v>70310004609</v>
      </c>
      <c r="D197" s="253" t="s">
        <v>25</v>
      </c>
      <c r="E197" s="284" t="s">
        <v>4841</v>
      </c>
      <c r="F197" s="255">
        <v>45230</v>
      </c>
    </row>
    <row r="198" spans="1:6" x14ac:dyDescent="0.3">
      <c r="A198" s="280">
        <v>141739</v>
      </c>
      <c r="B198" s="263" t="s">
        <v>4838</v>
      </c>
      <c r="C198" s="252">
        <v>70310001578</v>
      </c>
      <c r="D198" s="253" t="s">
        <v>25</v>
      </c>
      <c r="E198" s="284" t="s">
        <v>4841</v>
      </c>
      <c r="F198" s="255">
        <v>45230</v>
      </c>
    </row>
    <row r="199" spans="1:6" x14ac:dyDescent="0.3">
      <c r="A199" s="280">
        <v>142620</v>
      </c>
      <c r="B199" s="263" t="s">
        <v>4839</v>
      </c>
      <c r="C199" s="252">
        <v>70310001707</v>
      </c>
      <c r="D199" s="253" t="s">
        <v>25</v>
      </c>
      <c r="E199" s="284" t="s">
        <v>4841</v>
      </c>
      <c r="F199" s="255">
        <v>45230</v>
      </c>
    </row>
    <row r="200" spans="1:6" x14ac:dyDescent="0.3">
      <c r="A200" s="280">
        <v>142745</v>
      </c>
      <c r="B200" s="263" t="s">
        <v>4840</v>
      </c>
      <c r="C200" s="252">
        <v>620707118718</v>
      </c>
      <c r="D200" s="253" t="s">
        <v>25</v>
      </c>
      <c r="E200" s="284" t="s">
        <v>4841</v>
      </c>
      <c r="F200" s="255">
        <v>45230</v>
      </c>
    </row>
    <row r="201" spans="1:6" x14ac:dyDescent="0.3">
      <c r="A201" s="280">
        <v>263327</v>
      </c>
      <c r="B201" s="263" t="s">
        <v>4842</v>
      </c>
      <c r="C201" s="252">
        <v>620707311003</v>
      </c>
      <c r="D201" s="253" t="s">
        <v>25</v>
      </c>
      <c r="E201" s="284" t="s">
        <v>4841</v>
      </c>
      <c r="F201" s="255">
        <v>45230</v>
      </c>
    </row>
    <row r="202" spans="1:6" x14ac:dyDescent="0.3">
      <c r="A202" s="280">
        <v>339895</v>
      </c>
      <c r="B202" s="263" t="s">
        <v>4843</v>
      </c>
      <c r="C202" s="252">
        <v>620707311010</v>
      </c>
      <c r="D202" s="253" t="s">
        <v>25</v>
      </c>
      <c r="E202" s="284" t="s">
        <v>4841</v>
      </c>
      <c r="F202" s="255">
        <v>45230</v>
      </c>
    </row>
    <row r="203" spans="1:6" x14ac:dyDescent="0.3">
      <c r="A203" s="280">
        <v>382291</v>
      </c>
      <c r="B203" s="263" t="s">
        <v>4844</v>
      </c>
      <c r="C203" s="252">
        <v>620707101970</v>
      </c>
      <c r="D203" s="253" t="s">
        <v>25</v>
      </c>
      <c r="E203" s="284" t="s">
        <v>4841</v>
      </c>
      <c r="F203" s="255">
        <v>45230</v>
      </c>
    </row>
    <row r="204" spans="1:6" x14ac:dyDescent="0.3">
      <c r="A204" s="280">
        <v>465385</v>
      </c>
      <c r="B204" s="263" t="s">
        <v>4845</v>
      </c>
      <c r="C204" s="252">
        <v>620707106852</v>
      </c>
      <c r="D204" s="253" t="s">
        <v>98</v>
      </c>
      <c r="E204" s="284" t="s">
        <v>4841</v>
      </c>
      <c r="F204" s="255">
        <v>45230</v>
      </c>
    </row>
    <row r="205" spans="1:6" x14ac:dyDescent="0.3">
      <c r="A205" s="280">
        <v>467209</v>
      </c>
      <c r="B205" s="263" t="s">
        <v>4846</v>
      </c>
      <c r="C205" s="252">
        <v>620707006855</v>
      </c>
      <c r="D205" s="253" t="s">
        <v>37</v>
      </c>
      <c r="E205" s="284" t="s">
        <v>4841</v>
      </c>
      <c r="F205" s="255">
        <v>45230</v>
      </c>
    </row>
    <row r="206" spans="1:6" x14ac:dyDescent="0.3">
      <c r="A206" s="280">
        <v>19734</v>
      </c>
      <c r="B206" s="263" t="s">
        <v>3966</v>
      </c>
      <c r="C206" s="252" t="str">
        <f>"051497153861"</f>
        <v>051497153861</v>
      </c>
      <c r="D206" s="253" t="s">
        <v>1620</v>
      </c>
      <c r="E206" s="254" t="s">
        <v>3367</v>
      </c>
      <c r="F206" s="255">
        <v>45188</v>
      </c>
    </row>
    <row r="207" spans="1:6" x14ac:dyDescent="0.3">
      <c r="A207" s="280">
        <v>484311</v>
      </c>
      <c r="B207" s="263" t="s">
        <v>4831</v>
      </c>
      <c r="C207" s="252">
        <v>64294613940</v>
      </c>
      <c r="D207" s="253" t="s">
        <v>29</v>
      </c>
      <c r="E207" s="254" t="s">
        <v>3367</v>
      </c>
      <c r="F207" s="255">
        <v>45168</v>
      </c>
    </row>
    <row r="208" spans="1:6" x14ac:dyDescent="0.3">
      <c r="A208" s="280">
        <v>484329</v>
      </c>
      <c r="B208" s="263" t="s">
        <v>4832</v>
      </c>
      <c r="C208" s="252">
        <v>64294614039</v>
      </c>
      <c r="D208" s="253" t="s">
        <v>29</v>
      </c>
      <c r="E208" s="254" t="s">
        <v>3367</v>
      </c>
      <c r="F208" s="255">
        <v>45168</v>
      </c>
    </row>
    <row r="209" spans="1:6" x14ac:dyDescent="0.3">
      <c r="A209" s="280">
        <v>484386</v>
      </c>
      <c r="B209" s="263" t="s">
        <v>4833</v>
      </c>
      <c r="C209" s="252">
        <v>64294765618</v>
      </c>
      <c r="D209" s="253" t="s">
        <v>29</v>
      </c>
      <c r="E209" s="254" t="s">
        <v>3367</v>
      </c>
      <c r="F209" s="255">
        <v>45168</v>
      </c>
    </row>
    <row r="210" spans="1:6" x14ac:dyDescent="0.3">
      <c r="A210" s="280">
        <v>484402</v>
      </c>
      <c r="B210" s="263" t="s">
        <v>4834</v>
      </c>
      <c r="C210" s="252">
        <v>64294614060</v>
      </c>
      <c r="D210" s="253" t="s">
        <v>29</v>
      </c>
      <c r="E210" s="254" t="s">
        <v>3367</v>
      </c>
      <c r="F210" s="255">
        <v>45168</v>
      </c>
    </row>
    <row r="211" spans="1:6" x14ac:dyDescent="0.3">
      <c r="A211" s="280">
        <v>669242</v>
      </c>
      <c r="B211" s="263" t="s">
        <v>4830</v>
      </c>
      <c r="C211" s="252">
        <v>5010103913225</v>
      </c>
      <c r="D211" s="253" t="s">
        <v>202</v>
      </c>
      <c r="E211" s="254" t="s">
        <v>3367</v>
      </c>
      <c r="F211" s="255">
        <v>45167</v>
      </c>
    </row>
    <row r="212" spans="1:6" x14ac:dyDescent="0.3">
      <c r="A212" s="280">
        <v>535682</v>
      </c>
      <c r="B212" s="263" t="s">
        <v>4828</v>
      </c>
      <c r="C212" s="252" t="s">
        <v>4829</v>
      </c>
      <c r="D212" s="253" t="s">
        <v>202</v>
      </c>
      <c r="E212" s="254" t="s">
        <v>3367</v>
      </c>
      <c r="F212" s="255">
        <v>45175</v>
      </c>
    </row>
    <row r="213" spans="1:6" x14ac:dyDescent="0.3">
      <c r="A213" s="280">
        <v>10878</v>
      </c>
      <c r="B213" s="263" t="s">
        <v>4826</v>
      </c>
      <c r="C213" s="252" t="str">
        <f>"628504954010"</f>
        <v>628504954010</v>
      </c>
      <c r="D213" s="253" t="s">
        <v>25</v>
      </c>
      <c r="E213" s="254" t="s">
        <v>3367</v>
      </c>
      <c r="F213" s="255">
        <v>45188</v>
      </c>
    </row>
    <row r="214" spans="1:6" x14ac:dyDescent="0.3">
      <c r="A214" s="280">
        <v>11693</v>
      </c>
      <c r="B214" s="263" t="s">
        <v>4219</v>
      </c>
      <c r="C214" s="252" t="str">
        <f>"063657039731"</f>
        <v>063657039731</v>
      </c>
      <c r="D214" s="253" t="s">
        <v>25</v>
      </c>
      <c r="E214" s="254" t="s">
        <v>3367</v>
      </c>
      <c r="F214" s="255">
        <v>45188</v>
      </c>
    </row>
    <row r="215" spans="1:6" x14ac:dyDescent="0.3">
      <c r="A215" s="280" t="str">
        <f>"0026615"</f>
        <v>0026615</v>
      </c>
      <c r="B215" s="263" t="s">
        <v>4115</v>
      </c>
      <c r="C215" s="252" t="str">
        <f>"620707106449"</f>
        <v>620707106449</v>
      </c>
      <c r="D215" s="253" t="s">
        <v>98</v>
      </c>
      <c r="E215" s="254" t="s">
        <v>3367</v>
      </c>
      <c r="F215" s="255">
        <v>45164</v>
      </c>
    </row>
    <row r="216" spans="1:6" x14ac:dyDescent="0.3">
      <c r="A216" s="280" t="str">
        <f>"0698449"</f>
        <v>0698449</v>
      </c>
      <c r="B216" s="263" t="s">
        <v>4827</v>
      </c>
      <c r="C216" s="252" t="str">
        <f>"620707101918"</f>
        <v>620707101918</v>
      </c>
      <c r="D216" s="253" t="s">
        <v>25</v>
      </c>
      <c r="E216" s="254" t="s">
        <v>3367</v>
      </c>
      <c r="F216" s="255">
        <v>45164</v>
      </c>
    </row>
    <row r="217" spans="1:6" x14ac:dyDescent="0.3">
      <c r="A217" s="280">
        <v>27910</v>
      </c>
      <c r="B217" s="263" t="s">
        <v>4825</v>
      </c>
      <c r="C217" s="252">
        <v>807574000241</v>
      </c>
      <c r="D217" s="253" t="s">
        <v>98</v>
      </c>
      <c r="E217" s="254" t="s">
        <v>3367</v>
      </c>
      <c r="F217" s="255">
        <v>45161</v>
      </c>
    </row>
    <row r="218" spans="1:6" x14ac:dyDescent="0.3">
      <c r="A218" s="280">
        <v>27794</v>
      </c>
      <c r="B218" s="263" t="s">
        <v>4824</v>
      </c>
      <c r="C218" s="252">
        <v>628504954041</v>
      </c>
      <c r="D218" s="253" t="s">
        <v>124</v>
      </c>
      <c r="E218" s="254" t="s">
        <v>3367</v>
      </c>
      <c r="F218" s="255">
        <v>45161</v>
      </c>
    </row>
    <row r="219" spans="1:6" x14ac:dyDescent="0.3">
      <c r="A219" s="280">
        <v>25050</v>
      </c>
      <c r="B219" s="263" t="s">
        <v>4646</v>
      </c>
      <c r="C219" s="252" t="str">
        <f>"628669093661"</f>
        <v>628669093661</v>
      </c>
      <c r="D219" s="253" t="s">
        <v>25</v>
      </c>
      <c r="E219" s="254" t="s">
        <v>3367</v>
      </c>
      <c r="F219" s="255">
        <v>45181</v>
      </c>
    </row>
    <row r="220" spans="1:6" x14ac:dyDescent="0.3">
      <c r="A220" s="280">
        <v>133470</v>
      </c>
      <c r="B220" s="263" t="s">
        <v>4823</v>
      </c>
      <c r="C220" s="252" t="str">
        <f>"4008287058222"</f>
        <v>4008287058222</v>
      </c>
      <c r="D220" s="253" t="s">
        <v>29</v>
      </c>
      <c r="E220" s="254" t="s">
        <v>3367</v>
      </c>
      <c r="F220" s="255">
        <v>45181</v>
      </c>
    </row>
    <row r="221" spans="1:6" x14ac:dyDescent="0.3">
      <c r="A221" s="280">
        <v>32025</v>
      </c>
      <c r="B221" s="263" t="s">
        <v>4821</v>
      </c>
      <c r="C221" s="252" t="s">
        <v>4822</v>
      </c>
      <c r="D221" s="253" t="s">
        <v>202</v>
      </c>
      <c r="E221" s="254" t="s">
        <v>3367</v>
      </c>
      <c r="F221" s="255">
        <v>45160</v>
      </c>
    </row>
    <row r="222" spans="1:6" x14ac:dyDescent="0.3">
      <c r="A222" s="280">
        <v>576181</v>
      </c>
      <c r="B222" s="263" t="s">
        <v>4820</v>
      </c>
      <c r="C222" s="252">
        <v>876584002040</v>
      </c>
      <c r="D222" s="253" t="s">
        <v>202</v>
      </c>
      <c r="E222" s="254" t="s">
        <v>3367</v>
      </c>
      <c r="F222" s="255">
        <v>45160</v>
      </c>
    </row>
    <row r="223" spans="1:6" x14ac:dyDescent="0.3">
      <c r="A223" s="280">
        <v>16639</v>
      </c>
      <c r="B223" s="263" t="s">
        <v>4819</v>
      </c>
      <c r="C223" s="252" t="str">
        <f>"048162016606"</f>
        <v>048162016606</v>
      </c>
      <c r="D223" s="253" t="s">
        <v>25</v>
      </c>
      <c r="E223" s="254" t="s">
        <v>3367</v>
      </c>
      <c r="F223" s="255">
        <v>45175</v>
      </c>
    </row>
    <row r="224" spans="1:6" ht="14.1" customHeight="1" x14ac:dyDescent="0.3">
      <c r="A224" s="280">
        <v>497487</v>
      </c>
      <c r="B224" s="263" t="s">
        <v>4818</v>
      </c>
      <c r="C224" s="252" t="str">
        <f>"083783535037"</f>
        <v>083783535037</v>
      </c>
      <c r="D224" s="253" t="s">
        <v>25</v>
      </c>
      <c r="E224" s="254" t="s">
        <v>3367</v>
      </c>
      <c r="F224" s="255">
        <v>45175</v>
      </c>
    </row>
    <row r="225" spans="1:6" x14ac:dyDescent="0.3">
      <c r="A225" s="280">
        <v>25096</v>
      </c>
      <c r="B225" s="263" t="s">
        <v>4817</v>
      </c>
      <c r="C225" s="252" t="str">
        <f>"628055459552"</f>
        <v>628055459552</v>
      </c>
      <c r="D225" s="253" t="s">
        <v>25</v>
      </c>
      <c r="E225" s="254" t="s">
        <v>3367</v>
      </c>
      <c r="F225" s="255">
        <v>45175</v>
      </c>
    </row>
    <row r="226" spans="1:6" x14ac:dyDescent="0.3">
      <c r="A226" s="280">
        <v>13815</v>
      </c>
      <c r="B226" s="263" t="s">
        <v>4814</v>
      </c>
      <c r="C226" s="252" t="str">
        <f>"628055459101"</f>
        <v>628055459101</v>
      </c>
      <c r="D226" s="253" t="s">
        <v>25</v>
      </c>
      <c r="E226" s="254" t="s">
        <v>3367</v>
      </c>
      <c r="F226" s="255">
        <v>45175</v>
      </c>
    </row>
    <row r="227" spans="1:6" x14ac:dyDescent="0.3">
      <c r="A227" s="280">
        <v>20043</v>
      </c>
      <c r="B227" s="263" t="s">
        <v>4815</v>
      </c>
      <c r="C227" s="252" t="str">
        <f>"628055459453"</f>
        <v>628055459453</v>
      </c>
      <c r="D227" s="253" t="s">
        <v>25</v>
      </c>
      <c r="E227" s="254" t="s">
        <v>3367</v>
      </c>
      <c r="F227" s="255">
        <v>45175</v>
      </c>
    </row>
    <row r="228" spans="1:6" x14ac:dyDescent="0.3">
      <c r="A228" s="280">
        <v>26870</v>
      </c>
      <c r="B228" s="263" t="s">
        <v>4491</v>
      </c>
      <c r="C228" s="252" t="str">
        <f>"691245100053"</f>
        <v>691245100053</v>
      </c>
      <c r="D228" s="253" t="s">
        <v>98</v>
      </c>
      <c r="E228" s="254" t="s">
        <v>3367</v>
      </c>
      <c r="F228" s="255">
        <v>45175</v>
      </c>
    </row>
    <row r="229" spans="1:6" x14ac:dyDescent="0.3">
      <c r="A229" s="280">
        <v>647867</v>
      </c>
      <c r="B229" s="263" t="s">
        <v>4816</v>
      </c>
      <c r="C229" s="252" t="str">
        <f>"628055459064"</f>
        <v>628055459064</v>
      </c>
      <c r="D229" s="253" t="s">
        <v>25</v>
      </c>
      <c r="E229" s="254" t="s">
        <v>3367</v>
      </c>
      <c r="F229" s="255">
        <v>45175</v>
      </c>
    </row>
    <row r="230" spans="1:6" x14ac:dyDescent="0.3">
      <c r="A230" s="280">
        <v>891499</v>
      </c>
      <c r="B230" s="263" t="s">
        <v>5089</v>
      </c>
      <c r="C230" s="252">
        <v>87752006559</v>
      </c>
      <c r="D230" s="253" t="s">
        <v>202</v>
      </c>
      <c r="E230" s="254" t="s">
        <v>3367</v>
      </c>
      <c r="F230" s="255">
        <v>45155</v>
      </c>
    </row>
    <row r="231" spans="1:6" x14ac:dyDescent="0.3">
      <c r="A231" s="280">
        <v>14887</v>
      </c>
      <c r="B231" s="263" t="s">
        <v>4418</v>
      </c>
      <c r="C231" s="252">
        <v>777081728085</v>
      </c>
      <c r="D231" s="253" t="s">
        <v>202</v>
      </c>
      <c r="E231" s="254" t="s">
        <v>3367</v>
      </c>
      <c r="F231" s="255">
        <v>45153</v>
      </c>
    </row>
    <row r="232" spans="1:6" x14ac:dyDescent="0.3">
      <c r="A232" s="280">
        <v>12714</v>
      </c>
      <c r="B232" s="263" t="s">
        <v>4813</v>
      </c>
      <c r="C232" s="252">
        <v>809381028357</v>
      </c>
      <c r="D232" s="253" t="s">
        <v>202</v>
      </c>
      <c r="E232" s="254" t="s">
        <v>3367</v>
      </c>
      <c r="F232" s="255">
        <v>45153</v>
      </c>
    </row>
    <row r="233" spans="1:6" x14ac:dyDescent="0.3">
      <c r="A233" s="280">
        <v>26554</v>
      </c>
      <c r="B233" s="263" t="s">
        <v>4812</v>
      </c>
      <c r="C233" s="252" t="str">
        <f>"627843535560"</f>
        <v>627843535560</v>
      </c>
      <c r="D233" s="253" t="s">
        <v>25</v>
      </c>
      <c r="E233" s="254" t="s">
        <v>3367</v>
      </c>
      <c r="F233" s="255">
        <v>45167</v>
      </c>
    </row>
    <row r="234" spans="1:6" x14ac:dyDescent="0.3">
      <c r="A234" s="280">
        <v>74591</v>
      </c>
      <c r="B234" s="263" t="s">
        <v>4811</v>
      </c>
      <c r="C234" s="252" t="str">
        <f>"5740700997365"</f>
        <v>5740700997365</v>
      </c>
      <c r="D234" s="253" t="s">
        <v>48</v>
      </c>
      <c r="E234" s="254" t="s">
        <v>3367</v>
      </c>
      <c r="F234" s="255">
        <v>45167</v>
      </c>
    </row>
    <row r="235" spans="1:6" x14ac:dyDescent="0.3">
      <c r="A235" s="280">
        <v>16837</v>
      </c>
      <c r="B235" s="263" t="s">
        <v>3701</v>
      </c>
      <c r="C235" s="252" t="str">
        <f>"062067378317"</f>
        <v>062067378317</v>
      </c>
      <c r="D235" s="253" t="s">
        <v>3105</v>
      </c>
      <c r="E235" s="254" t="s">
        <v>3367</v>
      </c>
      <c r="F235" s="255">
        <v>45147</v>
      </c>
    </row>
    <row r="236" spans="1:6" x14ac:dyDescent="0.3">
      <c r="A236" s="280">
        <v>449538</v>
      </c>
      <c r="B236" s="263" t="s">
        <v>4810</v>
      </c>
      <c r="C236" s="252" t="str">
        <f>"062067566356"</f>
        <v>062067566356</v>
      </c>
      <c r="D236" s="253" t="s">
        <v>25</v>
      </c>
      <c r="E236" s="254" t="s">
        <v>3367</v>
      </c>
      <c r="F236" s="255">
        <v>45147</v>
      </c>
    </row>
    <row r="237" spans="1:6" x14ac:dyDescent="0.3">
      <c r="A237" s="280">
        <v>517185</v>
      </c>
      <c r="B237" s="263" t="s">
        <v>4809</v>
      </c>
      <c r="C237" s="252">
        <v>832136007154</v>
      </c>
      <c r="D237" s="253" t="s">
        <v>202</v>
      </c>
      <c r="E237" s="254" t="s">
        <v>3367</v>
      </c>
      <c r="F237" s="255">
        <v>45160</v>
      </c>
    </row>
    <row r="238" spans="1:6" x14ac:dyDescent="0.3">
      <c r="A238" s="280">
        <v>25610</v>
      </c>
      <c r="B238" s="263" t="s">
        <v>4793</v>
      </c>
      <c r="C238" s="252">
        <v>627167100833</v>
      </c>
      <c r="D238" s="253" t="s">
        <v>455</v>
      </c>
      <c r="E238" s="254" t="s">
        <v>3367</v>
      </c>
      <c r="F238" s="255">
        <v>45160</v>
      </c>
    </row>
    <row r="239" spans="1:6" x14ac:dyDescent="0.3">
      <c r="A239" s="280">
        <v>18320</v>
      </c>
      <c r="B239" s="263" t="s">
        <v>4808</v>
      </c>
      <c r="C239" s="252" t="str">
        <f>"727530562500"</f>
        <v>727530562500</v>
      </c>
      <c r="D239" s="253" t="s">
        <v>25</v>
      </c>
      <c r="E239" s="254" t="s">
        <v>3367</v>
      </c>
      <c r="F239" s="255">
        <v>45160</v>
      </c>
    </row>
    <row r="240" spans="1:6" x14ac:dyDescent="0.3">
      <c r="A240" s="280">
        <v>15162</v>
      </c>
      <c r="B240" s="263" t="s">
        <v>3029</v>
      </c>
      <c r="C240" s="252" t="str">
        <f>"066542504000"</f>
        <v>066542504000</v>
      </c>
      <c r="D240" s="253" t="s">
        <v>25</v>
      </c>
      <c r="E240" s="254" t="s">
        <v>3367</v>
      </c>
      <c r="F240" s="255">
        <v>45160</v>
      </c>
    </row>
    <row r="241" spans="1:6" x14ac:dyDescent="0.3">
      <c r="A241" s="280">
        <v>588053</v>
      </c>
      <c r="B241" s="263" t="s">
        <v>4806</v>
      </c>
      <c r="C241" s="252">
        <v>727760500594</v>
      </c>
      <c r="D241" s="253" t="s">
        <v>202</v>
      </c>
      <c r="E241" s="254" t="s">
        <v>3367</v>
      </c>
      <c r="F241" s="255">
        <v>45153</v>
      </c>
    </row>
    <row r="242" spans="1:6" x14ac:dyDescent="0.3">
      <c r="A242" s="280">
        <v>668228</v>
      </c>
      <c r="B242" s="263" t="s">
        <v>4807</v>
      </c>
      <c r="C242" s="252">
        <v>8410113003690</v>
      </c>
      <c r="D242" s="253" t="s">
        <v>202</v>
      </c>
      <c r="E242" s="254" t="s">
        <v>3367</v>
      </c>
      <c r="F242" s="255">
        <v>45153</v>
      </c>
    </row>
    <row r="243" spans="1:6" x14ac:dyDescent="0.3">
      <c r="A243" s="280">
        <v>22777</v>
      </c>
      <c r="B243" s="263" t="s">
        <v>4802</v>
      </c>
      <c r="C243" s="252">
        <v>5998623530293</v>
      </c>
      <c r="D243" s="253" t="s">
        <v>202</v>
      </c>
      <c r="E243" s="254" t="s">
        <v>3367</v>
      </c>
      <c r="F243" s="255">
        <v>45139</v>
      </c>
    </row>
    <row r="244" spans="1:6" x14ac:dyDescent="0.3">
      <c r="A244" s="280">
        <v>297630</v>
      </c>
      <c r="B244" s="263" t="s">
        <v>4803</v>
      </c>
      <c r="C244" s="252">
        <v>3566922002975</v>
      </c>
      <c r="D244" s="253" t="s">
        <v>202</v>
      </c>
      <c r="E244" s="254" t="s">
        <v>3367</v>
      </c>
      <c r="F244" s="255">
        <v>45139</v>
      </c>
    </row>
    <row r="245" spans="1:6" x14ac:dyDescent="0.3">
      <c r="A245" s="280">
        <v>605667</v>
      </c>
      <c r="B245" s="263" t="s">
        <v>4512</v>
      </c>
      <c r="C245" s="252">
        <v>3337690175822</v>
      </c>
      <c r="D245" s="253" t="s">
        <v>202</v>
      </c>
      <c r="E245" s="254" t="s">
        <v>3367</v>
      </c>
      <c r="F245" s="255">
        <v>45139</v>
      </c>
    </row>
    <row r="246" spans="1:6" x14ac:dyDescent="0.3">
      <c r="A246" s="280">
        <v>542332</v>
      </c>
      <c r="B246" s="263" t="s">
        <v>4804</v>
      </c>
      <c r="C246" s="252">
        <v>878448003170</v>
      </c>
      <c r="D246" s="253" t="s">
        <v>496</v>
      </c>
      <c r="E246" s="254" t="s">
        <v>3367</v>
      </c>
      <c r="F246" s="255">
        <v>45139</v>
      </c>
    </row>
    <row r="247" spans="1:6" x14ac:dyDescent="0.3">
      <c r="A247" s="280">
        <v>24212</v>
      </c>
      <c r="B247" s="263" t="s">
        <v>4805</v>
      </c>
      <c r="C247" s="252">
        <v>785859885373</v>
      </c>
      <c r="D247" s="253" t="s">
        <v>202</v>
      </c>
      <c r="E247" s="254" t="s">
        <v>3367</v>
      </c>
      <c r="F247" s="255">
        <v>45139</v>
      </c>
    </row>
    <row r="248" spans="1:6" x14ac:dyDescent="0.3">
      <c r="A248" s="280">
        <v>19928</v>
      </c>
      <c r="B248" s="263" t="s">
        <v>4801</v>
      </c>
      <c r="C248" s="252">
        <v>874537000358</v>
      </c>
      <c r="D248" s="253" t="s">
        <v>202</v>
      </c>
      <c r="E248" s="254" t="s">
        <v>3367</v>
      </c>
      <c r="F248" s="255">
        <v>45139</v>
      </c>
    </row>
    <row r="249" spans="1:6" x14ac:dyDescent="0.3">
      <c r="A249" s="280">
        <v>341776</v>
      </c>
      <c r="B249" s="263" t="s">
        <v>4743</v>
      </c>
      <c r="C249" s="252">
        <v>874537000402</v>
      </c>
      <c r="D249" s="253" t="s">
        <v>202</v>
      </c>
      <c r="E249" s="254" t="s">
        <v>3367</v>
      </c>
      <c r="F249" s="255">
        <v>45139</v>
      </c>
    </row>
    <row r="250" spans="1:6" x14ac:dyDescent="0.3">
      <c r="A250" s="280">
        <v>1818</v>
      </c>
      <c r="B250" s="263" t="s">
        <v>4800</v>
      </c>
      <c r="C250" s="252">
        <v>402492005103</v>
      </c>
      <c r="D250" s="253" t="s">
        <v>202</v>
      </c>
      <c r="E250" s="254" t="s">
        <v>3367</v>
      </c>
      <c r="F250" s="255">
        <v>45153</v>
      </c>
    </row>
    <row r="251" spans="1:6" x14ac:dyDescent="0.3">
      <c r="A251" s="280">
        <v>611137</v>
      </c>
      <c r="B251" s="263" t="s">
        <v>5086</v>
      </c>
      <c r="C251" s="252">
        <v>87752008706</v>
      </c>
      <c r="D251" s="253" t="s">
        <v>202</v>
      </c>
      <c r="E251" s="254" t="s">
        <v>3367</v>
      </c>
      <c r="F251" s="255">
        <v>45134</v>
      </c>
    </row>
    <row r="252" spans="1:6" x14ac:dyDescent="0.3">
      <c r="A252" s="280">
        <v>699082</v>
      </c>
      <c r="B252" s="263" t="s">
        <v>5087</v>
      </c>
      <c r="C252" s="252">
        <v>87752008652</v>
      </c>
      <c r="D252" s="253" t="s">
        <v>202</v>
      </c>
      <c r="E252" s="254" t="s">
        <v>3367</v>
      </c>
      <c r="F252" s="255">
        <v>45134</v>
      </c>
    </row>
    <row r="253" spans="1:6" x14ac:dyDescent="0.3">
      <c r="A253" s="280">
        <v>891283</v>
      </c>
      <c r="B253" s="263" t="s">
        <v>5088</v>
      </c>
      <c r="C253" s="252">
        <v>87752006566</v>
      </c>
      <c r="D253" s="253" t="s">
        <v>202</v>
      </c>
      <c r="E253" s="254" t="s">
        <v>3367</v>
      </c>
      <c r="F253" s="255">
        <v>45134</v>
      </c>
    </row>
    <row r="254" spans="1:6" x14ac:dyDescent="0.3">
      <c r="A254" s="280">
        <v>23257</v>
      </c>
      <c r="B254" s="263" t="s">
        <v>4799</v>
      </c>
      <c r="C254" s="252" t="str">
        <f>"627987407105"</f>
        <v>627987407105</v>
      </c>
      <c r="D254" s="253" t="s">
        <v>1620</v>
      </c>
      <c r="E254" s="254" t="s">
        <v>3367</v>
      </c>
      <c r="F254" s="255">
        <v>45133</v>
      </c>
    </row>
    <row r="255" spans="1:6" x14ac:dyDescent="0.3">
      <c r="A255" s="280">
        <v>519827</v>
      </c>
      <c r="B255" s="263" t="s">
        <v>4496</v>
      </c>
      <c r="C255" s="252" t="str">
        <f>"627843580263"</f>
        <v>627843580263</v>
      </c>
      <c r="D255" s="253" t="s">
        <v>124</v>
      </c>
      <c r="E255" s="254" t="s">
        <v>3367</v>
      </c>
      <c r="F255" s="255">
        <v>45132</v>
      </c>
    </row>
    <row r="256" spans="1:6" x14ac:dyDescent="0.3">
      <c r="A256" s="280">
        <v>10869</v>
      </c>
      <c r="B256" s="263" t="s">
        <v>4795</v>
      </c>
      <c r="C256" s="252" t="str">
        <f>"699057000042"</f>
        <v>699057000042</v>
      </c>
      <c r="D256" s="253" t="s">
        <v>1620</v>
      </c>
      <c r="E256" s="254" t="s">
        <v>3367</v>
      </c>
      <c r="F256" s="255">
        <v>45129</v>
      </c>
    </row>
    <row r="257" spans="1:6" x14ac:dyDescent="0.3">
      <c r="A257" s="280">
        <v>24583</v>
      </c>
      <c r="B257" s="263" t="s">
        <v>4795</v>
      </c>
      <c r="C257" s="252" t="str">
        <f>"699057000561"</f>
        <v>699057000561</v>
      </c>
      <c r="D257" s="253" t="s">
        <v>1620</v>
      </c>
      <c r="E257" s="254" t="s">
        <v>3367</v>
      </c>
      <c r="F257" s="255">
        <v>45129</v>
      </c>
    </row>
    <row r="258" spans="1:6" x14ac:dyDescent="0.3">
      <c r="A258" s="280">
        <v>24584</v>
      </c>
      <c r="B258" s="263" t="s">
        <v>4796</v>
      </c>
      <c r="C258" s="252" t="str">
        <f>"699057000219"</f>
        <v>699057000219</v>
      </c>
      <c r="D258" s="253" t="s">
        <v>1620</v>
      </c>
      <c r="E258" s="254" t="s">
        <v>3367</v>
      </c>
      <c r="F258" s="255">
        <v>45129</v>
      </c>
    </row>
    <row r="259" spans="1:6" x14ac:dyDescent="0.3">
      <c r="A259" s="280">
        <v>30732</v>
      </c>
      <c r="B259" s="263" t="s">
        <v>4797</v>
      </c>
      <c r="C259" s="252" t="str">
        <f>"699057000455"</f>
        <v>699057000455</v>
      </c>
      <c r="D259" s="253" t="s">
        <v>1620</v>
      </c>
      <c r="E259" s="254" t="s">
        <v>3367</v>
      </c>
      <c r="F259" s="255">
        <v>45129</v>
      </c>
    </row>
    <row r="260" spans="1:6" x14ac:dyDescent="0.3">
      <c r="A260" s="280">
        <v>32034</v>
      </c>
      <c r="B260" s="263" t="s">
        <v>4798</v>
      </c>
      <c r="C260" s="252" t="str">
        <f>"699057000387"</f>
        <v>699057000387</v>
      </c>
      <c r="D260" s="253" t="s">
        <v>37</v>
      </c>
      <c r="E260" s="254" t="s">
        <v>3367</v>
      </c>
      <c r="F260" s="255">
        <v>45129</v>
      </c>
    </row>
    <row r="261" spans="1:6" x14ac:dyDescent="0.3">
      <c r="A261" s="280">
        <v>33101</v>
      </c>
      <c r="B261" s="263" t="s">
        <v>4794</v>
      </c>
      <c r="C261" s="252" t="str">
        <f>"186360052016"</f>
        <v>186360052016</v>
      </c>
      <c r="D261" s="253" t="s">
        <v>25</v>
      </c>
      <c r="E261" s="254" t="s">
        <v>3367</v>
      </c>
      <c r="F261" s="255">
        <v>45129</v>
      </c>
    </row>
    <row r="262" spans="1:6" x14ac:dyDescent="0.3">
      <c r="A262" s="280">
        <v>25610</v>
      </c>
      <c r="B262" s="263" t="s">
        <v>4793</v>
      </c>
      <c r="C262" s="252">
        <v>627167100833</v>
      </c>
      <c r="D262" s="253" t="s">
        <v>455</v>
      </c>
      <c r="E262" s="254" t="s">
        <v>3367</v>
      </c>
      <c r="F262" s="255">
        <v>45132</v>
      </c>
    </row>
    <row r="263" spans="1:6" s="245" customFormat="1" x14ac:dyDescent="0.3">
      <c r="A263" s="288">
        <v>31510</v>
      </c>
      <c r="B263" s="286" t="s">
        <v>4791</v>
      </c>
      <c r="C263" s="273" t="str">
        <f>"746546048167"</f>
        <v>746546048167</v>
      </c>
      <c r="D263" s="253" t="s">
        <v>124</v>
      </c>
      <c r="E263" s="254" t="s">
        <v>4792</v>
      </c>
      <c r="F263" s="255">
        <v>45147</v>
      </c>
    </row>
    <row r="264" spans="1:6" x14ac:dyDescent="0.3">
      <c r="A264" s="280">
        <v>331215</v>
      </c>
      <c r="B264" s="263" t="s">
        <v>4790</v>
      </c>
      <c r="C264" s="252">
        <v>402492011463</v>
      </c>
      <c r="D264" s="253" t="s">
        <v>202</v>
      </c>
      <c r="E264" s="254" t="s">
        <v>3367</v>
      </c>
      <c r="F264" s="255">
        <v>45153</v>
      </c>
    </row>
    <row r="265" spans="1:6" x14ac:dyDescent="0.3">
      <c r="A265" s="280">
        <v>25947</v>
      </c>
      <c r="B265" s="263" t="s">
        <v>4789</v>
      </c>
      <c r="C265" s="252">
        <v>854974007813</v>
      </c>
      <c r="D265" s="253" t="s">
        <v>202</v>
      </c>
      <c r="E265" s="254" t="s">
        <v>3367</v>
      </c>
      <c r="F265" s="255">
        <v>45125</v>
      </c>
    </row>
    <row r="266" spans="1:6" x14ac:dyDescent="0.3">
      <c r="A266" s="280">
        <v>15910</v>
      </c>
      <c r="B266" s="263" t="s">
        <v>4787</v>
      </c>
      <c r="C266" s="252" t="s">
        <v>4788</v>
      </c>
      <c r="D266" s="253" t="s">
        <v>202</v>
      </c>
      <c r="E266" s="254" t="s">
        <v>3367</v>
      </c>
      <c r="F266" s="255">
        <v>45139</v>
      </c>
    </row>
    <row r="267" spans="1:6" s="245" customFormat="1" ht="14.65" customHeight="1" x14ac:dyDescent="0.3">
      <c r="A267" s="288">
        <v>19258</v>
      </c>
      <c r="B267" s="286" t="s">
        <v>4786</v>
      </c>
      <c r="C267" s="273" t="str">
        <f>"852500001892"</f>
        <v>852500001892</v>
      </c>
      <c r="D267" s="253" t="s">
        <v>25</v>
      </c>
      <c r="E267" s="254" t="s">
        <v>3367</v>
      </c>
      <c r="F267" s="255">
        <v>45147</v>
      </c>
    </row>
    <row r="268" spans="1:6" ht="41.95" x14ac:dyDescent="0.3">
      <c r="A268" s="280">
        <v>22025</v>
      </c>
      <c r="B268" s="263" t="s">
        <v>3927</v>
      </c>
      <c r="C268" s="252" t="str">
        <f>"5740700997334"</f>
        <v>5740700997334</v>
      </c>
      <c r="D268" s="253" t="s">
        <v>127</v>
      </c>
      <c r="E268" s="254" t="s">
        <v>4785</v>
      </c>
      <c r="F268" s="255">
        <v>45147</v>
      </c>
    </row>
    <row r="269" spans="1:6" s="245" customFormat="1" ht="14.65" customHeight="1" x14ac:dyDescent="0.3">
      <c r="A269" s="288">
        <v>573832</v>
      </c>
      <c r="B269" s="286" t="s">
        <v>4784</v>
      </c>
      <c r="C269" s="273" t="str">
        <f>"040232641251"</f>
        <v>040232641251</v>
      </c>
      <c r="D269" s="253" t="s">
        <v>25</v>
      </c>
      <c r="E269" s="254" t="s">
        <v>3367</v>
      </c>
      <c r="F269" s="255">
        <v>45147</v>
      </c>
    </row>
    <row r="270" spans="1:6" s="245" customFormat="1" ht="14.65" customHeight="1" x14ac:dyDescent="0.3">
      <c r="A270" s="288">
        <v>413781</v>
      </c>
      <c r="B270" s="286" t="s">
        <v>4783</v>
      </c>
      <c r="C270" s="273" t="str">
        <f>"856217000162"</f>
        <v>856217000162</v>
      </c>
      <c r="D270" s="253" t="s">
        <v>25</v>
      </c>
      <c r="E270" s="254" t="s">
        <v>3367</v>
      </c>
      <c r="F270" s="255">
        <v>45147</v>
      </c>
    </row>
    <row r="271" spans="1:6" s="245" customFormat="1" ht="14.65" customHeight="1" x14ac:dyDescent="0.3">
      <c r="A271" s="288">
        <v>14657</v>
      </c>
      <c r="B271" s="286" t="s">
        <v>4777</v>
      </c>
      <c r="C271" s="273">
        <v>727530564993</v>
      </c>
      <c r="D271" s="253" t="s">
        <v>25</v>
      </c>
      <c r="E271" s="254" t="s">
        <v>3367</v>
      </c>
      <c r="F271" s="255">
        <v>45139</v>
      </c>
    </row>
    <row r="272" spans="1:6" s="245" customFormat="1" ht="14.65" customHeight="1" x14ac:dyDescent="0.3">
      <c r="A272" s="288">
        <v>452565</v>
      </c>
      <c r="B272" s="286" t="s">
        <v>4778</v>
      </c>
      <c r="C272" s="273">
        <v>628451269014</v>
      </c>
      <c r="D272" s="253" t="s">
        <v>25</v>
      </c>
      <c r="E272" s="254" t="s">
        <v>4782</v>
      </c>
      <c r="F272" s="255">
        <v>45139</v>
      </c>
    </row>
    <row r="273" spans="1:6" s="245" customFormat="1" ht="14.65" customHeight="1" x14ac:dyDescent="0.3">
      <c r="A273" s="288">
        <v>26627</v>
      </c>
      <c r="B273" s="286" t="s">
        <v>4779</v>
      </c>
      <c r="C273" s="273">
        <v>628250784527</v>
      </c>
      <c r="D273" s="253" t="s">
        <v>25</v>
      </c>
      <c r="E273" s="254" t="s">
        <v>3367</v>
      </c>
      <c r="F273" s="255">
        <v>45139</v>
      </c>
    </row>
    <row r="274" spans="1:6" s="245" customFormat="1" ht="14.65" customHeight="1" x14ac:dyDescent="0.3">
      <c r="A274" s="288">
        <v>27795</v>
      </c>
      <c r="B274" s="286" t="s">
        <v>4780</v>
      </c>
      <c r="C274" s="273">
        <v>856217000407</v>
      </c>
      <c r="D274" s="253" t="s">
        <v>124</v>
      </c>
      <c r="E274" s="254" t="s">
        <v>3367</v>
      </c>
      <c r="F274" s="255">
        <v>45119</v>
      </c>
    </row>
    <row r="275" spans="1:6" s="245" customFormat="1" ht="14.65" customHeight="1" x14ac:dyDescent="0.3">
      <c r="A275" s="288">
        <v>479030</v>
      </c>
      <c r="B275" s="286" t="s">
        <v>241</v>
      </c>
      <c r="C275" s="273">
        <v>856217000193</v>
      </c>
      <c r="D275" s="253" t="s">
        <v>25</v>
      </c>
      <c r="E275" s="254" t="s">
        <v>3367</v>
      </c>
      <c r="F275" s="255">
        <v>45139</v>
      </c>
    </row>
    <row r="276" spans="1:6" s="245" customFormat="1" ht="14.65" customHeight="1" x14ac:dyDescent="0.3">
      <c r="A276" s="288">
        <v>498402</v>
      </c>
      <c r="B276" s="286" t="s">
        <v>4781</v>
      </c>
      <c r="C276" s="273">
        <v>856217001220</v>
      </c>
      <c r="D276" s="253" t="s">
        <v>25</v>
      </c>
      <c r="E276" s="254" t="s">
        <v>3367</v>
      </c>
      <c r="F276" s="255">
        <v>45139</v>
      </c>
    </row>
    <row r="277" spans="1:6" s="245" customFormat="1" ht="14.65" customHeight="1" x14ac:dyDescent="0.3">
      <c r="A277" s="288">
        <v>31993</v>
      </c>
      <c r="B277" s="286" t="s">
        <v>4776</v>
      </c>
      <c r="C277" s="273" t="str">
        <f>"628055731641"</f>
        <v>628055731641</v>
      </c>
      <c r="D277" s="253" t="s">
        <v>25</v>
      </c>
      <c r="E277" s="254" t="s">
        <v>3367</v>
      </c>
      <c r="F277" s="255">
        <v>45115</v>
      </c>
    </row>
    <row r="278" spans="1:6" s="245" customFormat="1" ht="14.65" customHeight="1" x14ac:dyDescent="0.3">
      <c r="A278" s="288">
        <v>200089</v>
      </c>
      <c r="B278" s="286" t="s">
        <v>4775</v>
      </c>
      <c r="C278" s="273" t="str">
        <f>"5900014004412"</f>
        <v>5900014004412</v>
      </c>
      <c r="D278" s="253" t="s">
        <v>48</v>
      </c>
      <c r="E278" s="254" t="s">
        <v>3367</v>
      </c>
      <c r="F278" s="255">
        <v>45132</v>
      </c>
    </row>
    <row r="279" spans="1:6" s="245" customFormat="1" ht="14.65" customHeight="1" x14ac:dyDescent="0.3">
      <c r="A279" s="288">
        <v>199851</v>
      </c>
      <c r="B279" s="286" t="s">
        <v>4774</v>
      </c>
      <c r="C279" s="273" t="str">
        <f>"5900014004047"</f>
        <v>5900014004047</v>
      </c>
      <c r="D279" s="253" t="s">
        <v>48</v>
      </c>
      <c r="E279" s="254" t="s">
        <v>3367</v>
      </c>
      <c r="F279" s="255">
        <v>45132</v>
      </c>
    </row>
    <row r="280" spans="1:6" s="245" customFormat="1" ht="14.65" customHeight="1" x14ac:dyDescent="0.3">
      <c r="A280" s="288">
        <v>17937</v>
      </c>
      <c r="B280" s="286" t="s">
        <v>4773</v>
      </c>
      <c r="C280" s="273" t="str">
        <f>"627843530336"</f>
        <v>627843530336</v>
      </c>
      <c r="D280" s="253" t="s">
        <v>1620</v>
      </c>
      <c r="E280" s="254" t="s">
        <v>3367</v>
      </c>
      <c r="F280" s="255">
        <v>45132</v>
      </c>
    </row>
    <row r="281" spans="1:6" s="245" customFormat="1" ht="14.65" customHeight="1" x14ac:dyDescent="0.3">
      <c r="A281" s="288">
        <v>73809</v>
      </c>
      <c r="B281" s="286" t="s">
        <v>4772</v>
      </c>
      <c r="C281" s="273" t="str">
        <f>"5740600020637"</f>
        <v>5740600020637</v>
      </c>
      <c r="D281" s="253" t="s">
        <v>48</v>
      </c>
      <c r="E281" s="254" t="s">
        <v>3367</v>
      </c>
      <c r="F281" s="255">
        <v>45125</v>
      </c>
    </row>
    <row r="282" spans="1:6" s="245" customFormat="1" ht="14.65" customHeight="1" x14ac:dyDescent="0.3">
      <c r="A282" s="288">
        <v>28736</v>
      </c>
      <c r="B282" s="286" t="s">
        <v>4771</v>
      </c>
      <c r="C282" s="273" t="str">
        <f>"672975229849"</f>
        <v>672975229849</v>
      </c>
      <c r="D282" s="253" t="s">
        <v>25</v>
      </c>
      <c r="E282" s="254" t="s">
        <v>3367</v>
      </c>
      <c r="F282" s="255">
        <v>45125</v>
      </c>
    </row>
    <row r="283" spans="1:6" ht="27.95" customHeight="1" x14ac:dyDescent="0.3">
      <c r="A283" s="280">
        <v>32061</v>
      </c>
      <c r="B283" s="263" t="s">
        <v>4702</v>
      </c>
      <c r="C283" s="252" t="str">
        <f>"062067410109"</f>
        <v>062067410109</v>
      </c>
      <c r="D283" s="253" t="s">
        <v>98</v>
      </c>
      <c r="E283" s="254" t="s">
        <v>4770</v>
      </c>
      <c r="F283" s="255">
        <v>45090</v>
      </c>
    </row>
    <row r="284" spans="1:6" s="245" customFormat="1" x14ac:dyDescent="0.3">
      <c r="A284" s="280">
        <v>31549</v>
      </c>
      <c r="B284" s="263" t="s">
        <v>4767</v>
      </c>
      <c r="C284" s="252" t="str">
        <f>"628028020987"</f>
        <v>628028020987</v>
      </c>
      <c r="D284" s="253" t="s">
        <v>4768</v>
      </c>
      <c r="E284" s="254" t="s">
        <v>4769</v>
      </c>
      <c r="F284" s="255">
        <v>45118</v>
      </c>
    </row>
    <row r="285" spans="1:6" s="245" customFormat="1" x14ac:dyDescent="0.3">
      <c r="A285" s="288">
        <v>10815</v>
      </c>
      <c r="B285" s="286" t="s">
        <v>3855</v>
      </c>
      <c r="C285" s="273">
        <v>186360010122</v>
      </c>
      <c r="D285" s="253" t="s">
        <v>25</v>
      </c>
      <c r="E285" s="254" t="s">
        <v>4766</v>
      </c>
      <c r="F285" s="255">
        <v>45125</v>
      </c>
    </row>
    <row r="286" spans="1:6" s="245" customFormat="1" x14ac:dyDescent="0.3">
      <c r="A286" s="288">
        <v>20219</v>
      </c>
      <c r="B286" s="286" t="s">
        <v>2910</v>
      </c>
      <c r="C286" s="273">
        <v>186360050135</v>
      </c>
      <c r="D286" s="253" t="s">
        <v>25</v>
      </c>
      <c r="E286" s="254" t="s">
        <v>4766</v>
      </c>
      <c r="F286" s="255">
        <v>45125</v>
      </c>
    </row>
    <row r="287" spans="1:6" s="245" customFormat="1" x14ac:dyDescent="0.3">
      <c r="A287" s="288">
        <v>20989</v>
      </c>
      <c r="B287" s="286" t="s">
        <v>4759</v>
      </c>
      <c r="C287" s="273">
        <v>186360010344</v>
      </c>
      <c r="D287" s="253" t="s">
        <v>124</v>
      </c>
      <c r="E287" s="254" t="s">
        <v>4766</v>
      </c>
      <c r="F287" s="255">
        <v>45125</v>
      </c>
    </row>
    <row r="288" spans="1:6" s="245" customFormat="1" x14ac:dyDescent="0.3">
      <c r="A288" s="288">
        <v>20991</v>
      </c>
      <c r="B288" s="286" t="s">
        <v>4760</v>
      </c>
      <c r="C288" s="273">
        <v>186360010368</v>
      </c>
      <c r="D288" s="253" t="s">
        <v>124</v>
      </c>
      <c r="E288" s="254" t="s">
        <v>4766</v>
      </c>
      <c r="F288" s="255">
        <v>45125</v>
      </c>
    </row>
    <row r="289" spans="1:6" s="245" customFormat="1" x14ac:dyDescent="0.3">
      <c r="A289" s="288">
        <v>20992</v>
      </c>
      <c r="B289" s="286" t="s">
        <v>4761</v>
      </c>
      <c r="C289" s="273">
        <v>186360010375</v>
      </c>
      <c r="D289" s="253" t="s">
        <v>124</v>
      </c>
      <c r="E289" s="254" t="s">
        <v>4766</v>
      </c>
      <c r="F289" s="255">
        <v>45125</v>
      </c>
    </row>
    <row r="290" spans="1:6" s="245" customFormat="1" x14ac:dyDescent="0.3">
      <c r="A290" s="288">
        <v>25099</v>
      </c>
      <c r="B290" s="286" t="s">
        <v>4762</v>
      </c>
      <c r="C290" s="273">
        <v>186360051880</v>
      </c>
      <c r="D290" s="253" t="s">
        <v>25</v>
      </c>
      <c r="E290" s="254" t="s">
        <v>4766</v>
      </c>
      <c r="F290" s="255">
        <v>45125</v>
      </c>
    </row>
    <row r="291" spans="1:6" s="245" customFormat="1" x14ac:dyDescent="0.3">
      <c r="A291" s="288">
        <v>32170</v>
      </c>
      <c r="B291" s="286" t="s">
        <v>4763</v>
      </c>
      <c r="C291" s="273">
        <v>186360010498</v>
      </c>
      <c r="D291" s="253" t="s">
        <v>25</v>
      </c>
      <c r="E291" s="254" t="s">
        <v>4766</v>
      </c>
      <c r="F291" s="255">
        <v>45125</v>
      </c>
    </row>
    <row r="292" spans="1:6" s="245" customFormat="1" x14ac:dyDescent="0.3">
      <c r="A292" s="288">
        <v>33086</v>
      </c>
      <c r="B292" s="286" t="s">
        <v>4764</v>
      </c>
      <c r="C292" s="273">
        <v>186360010511</v>
      </c>
      <c r="D292" s="253" t="s">
        <v>98</v>
      </c>
      <c r="E292" s="254" t="s">
        <v>4766</v>
      </c>
      <c r="F292" s="255">
        <v>45125</v>
      </c>
    </row>
    <row r="293" spans="1:6" s="245" customFormat="1" x14ac:dyDescent="0.3">
      <c r="A293" s="288">
        <v>442319</v>
      </c>
      <c r="B293" s="286" t="s">
        <v>4765</v>
      </c>
      <c r="C293" s="273">
        <v>186360000390</v>
      </c>
      <c r="D293" s="253" t="s">
        <v>25</v>
      </c>
      <c r="E293" s="254" t="s">
        <v>4766</v>
      </c>
      <c r="F293" s="255">
        <v>45125</v>
      </c>
    </row>
    <row r="294" spans="1:6" s="245" customFormat="1" x14ac:dyDescent="0.3">
      <c r="A294" s="288">
        <v>450312</v>
      </c>
      <c r="B294" s="286" t="s">
        <v>3862</v>
      </c>
      <c r="C294" s="273">
        <v>186360010030</v>
      </c>
      <c r="D294" s="253" t="s">
        <v>25</v>
      </c>
      <c r="E294" s="254" t="s">
        <v>4766</v>
      </c>
      <c r="F294" s="255">
        <v>45125</v>
      </c>
    </row>
    <row r="295" spans="1:6" s="245" customFormat="1" x14ac:dyDescent="0.3">
      <c r="A295" s="288">
        <v>549873</v>
      </c>
      <c r="B295" s="286" t="s">
        <v>3863</v>
      </c>
      <c r="C295" s="273">
        <v>186360050197</v>
      </c>
      <c r="D295" s="253" t="s">
        <v>25</v>
      </c>
      <c r="E295" s="254" t="s">
        <v>4766</v>
      </c>
      <c r="F295" s="255">
        <v>45125</v>
      </c>
    </row>
    <row r="296" spans="1:6" s="245" customFormat="1" x14ac:dyDescent="0.3">
      <c r="A296" s="288">
        <v>556688</v>
      </c>
      <c r="B296" s="286" t="s">
        <v>3864</v>
      </c>
      <c r="C296" s="273">
        <v>186360050203</v>
      </c>
      <c r="D296" s="253" t="s">
        <v>25</v>
      </c>
      <c r="E296" s="254" t="s">
        <v>4766</v>
      </c>
      <c r="F296" s="255">
        <v>45125</v>
      </c>
    </row>
    <row r="297" spans="1:6" s="245" customFormat="1" x14ac:dyDescent="0.3">
      <c r="A297" s="288">
        <v>24472</v>
      </c>
      <c r="B297" s="286" t="s">
        <v>4758</v>
      </c>
      <c r="C297" s="273" t="str">
        <f>"5391525113913"</f>
        <v>5391525113913</v>
      </c>
      <c r="D297" s="253" t="s">
        <v>285</v>
      </c>
      <c r="E297" s="254" t="s">
        <v>3367</v>
      </c>
      <c r="F297" s="255">
        <v>45098</v>
      </c>
    </row>
    <row r="298" spans="1:6" s="245" customFormat="1" ht="14.65" customHeight="1" x14ac:dyDescent="0.3">
      <c r="A298" s="288">
        <v>20652</v>
      </c>
      <c r="B298" s="286" t="s">
        <v>4755</v>
      </c>
      <c r="C298" s="273">
        <v>3351650024685</v>
      </c>
      <c r="D298" s="253" t="s">
        <v>202</v>
      </c>
      <c r="E298" s="254" t="s">
        <v>3367</v>
      </c>
      <c r="F298" s="255">
        <v>45097</v>
      </c>
    </row>
    <row r="299" spans="1:6" s="245" customFormat="1" x14ac:dyDescent="0.3">
      <c r="A299" s="288">
        <v>526327</v>
      </c>
      <c r="B299" s="286" t="s">
        <v>4756</v>
      </c>
      <c r="C299" s="252">
        <v>3351650004564</v>
      </c>
      <c r="D299" s="253" t="s">
        <v>202</v>
      </c>
      <c r="E299" s="254" t="s">
        <v>3367</v>
      </c>
      <c r="F299" s="255">
        <v>45097</v>
      </c>
    </row>
    <row r="300" spans="1:6" s="245" customFormat="1" x14ac:dyDescent="0.3">
      <c r="A300" s="288">
        <v>232710</v>
      </c>
      <c r="B300" s="286" t="s">
        <v>4757</v>
      </c>
      <c r="C300" s="252">
        <v>3351650012422</v>
      </c>
      <c r="D300" s="253" t="s">
        <v>202</v>
      </c>
      <c r="E300" s="254" t="s">
        <v>3367</v>
      </c>
      <c r="F300" s="255">
        <v>45097</v>
      </c>
    </row>
    <row r="301" spans="1:6" s="245" customFormat="1" x14ac:dyDescent="0.3">
      <c r="A301" s="288">
        <v>260851</v>
      </c>
      <c r="B301" s="286" t="s">
        <v>4753</v>
      </c>
      <c r="C301" s="252" t="s">
        <v>4754</v>
      </c>
      <c r="D301" s="253" t="s">
        <v>202</v>
      </c>
      <c r="E301" s="254" t="s">
        <v>3367</v>
      </c>
      <c r="F301" s="255">
        <v>45104</v>
      </c>
    </row>
    <row r="302" spans="1:6" s="245" customFormat="1" x14ac:dyDescent="0.3">
      <c r="A302" s="288">
        <v>633594</v>
      </c>
      <c r="B302" s="286" t="s">
        <v>4751</v>
      </c>
      <c r="C302" s="252" t="s">
        <v>4752</v>
      </c>
      <c r="D302" s="253" t="s">
        <v>202</v>
      </c>
      <c r="E302" s="254" t="s">
        <v>3367</v>
      </c>
      <c r="F302" s="255">
        <v>45097</v>
      </c>
    </row>
    <row r="303" spans="1:6" s="245" customFormat="1" x14ac:dyDescent="0.3">
      <c r="A303" s="288">
        <v>26084</v>
      </c>
      <c r="B303" s="286" t="s">
        <v>4745</v>
      </c>
      <c r="C303" s="252" t="str">
        <f>"627987823608"</f>
        <v>627987823608</v>
      </c>
      <c r="D303" s="253" t="s">
        <v>25</v>
      </c>
      <c r="E303" s="254" t="s">
        <v>3367</v>
      </c>
      <c r="F303" s="255">
        <v>45091</v>
      </c>
    </row>
    <row r="304" spans="1:6" s="245" customFormat="1" x14ac:dyDescent="0.3">
      <c r="A304" s="288">
        <v>27233</v>
      </c>
      <c r="B304" s="286" t="s">
        <v>4713</v>
      </c>
      <c r="C304" s="252" t="s">
        <v>4748</v>
      </c>
      <c r="D304" s="253" t="s">
        <v>124</v>
      </c>
      <c r="E304" s="254" t="s">
        <v>3367</v>
      </c>
      <c r="F304" s="255">
        <v>45092</v>
      </c>
    </row>
    <row r="305" spans="1:6" s="245" customFormat="1" x14ac:dyDescent="0.3">
      <c r="A305" s="288">
        <v>30126</v>
      </c>
      <c r="B305" s="286" t="s">
        <v>4746</v>
      </c>
      <c r="C305" s="252" t="s">
        <v>4749</v>
      </c>
      <c r="D305" s="253" t="s">
        <v>25</v>
      </c>
      <c r="E305" s="254" t="s">
        <v>3367</v>
      </c>
      <c r="F305" s="255">
        <v>45092</v>
      </c>
    </row>
    <row r="306" spans="1:6" s="245" customFormat="1" x14ac:dyDescent="0.3">
      <c r="A306" s="288">
        <v>31461</v>
      </c>
      <c r="B306" s="286" t="s">
        <v>4747</v>
      </c>
      <c r="C306" s="252" t="s">
        <v>4750</v>
      </c>
      <c r="D306" s="253" t="s">
        <v>25</v>
      </c>
      <c r="E306" s="254" t="s">
        <v>3367</v>
      </c>
      <c r="F306" s="255">
        <v>45092</v>
      </c>
    </row>
    <row r="307" spans="1:6" s="245" customFormat="1" ht="27.4" x14ac:dyDescent="0.3">
      <c r="A307" s="288">
        <v>341776</v>
      </c>
      <c r="B307" s="286" t="s">
        <v>4743</v>
      </c>
      <c r="C307" s="252" t="s">
        <v>4742</v>
      </c>
      <c r="D307" s="253" t="s">
        <v>202</v>
      </c>
      <c r="E307" s="254" t="s">
        <v>4744</v>
      </c>
      <c r="F307" s="255">
        <v>45125</v>
      </c>
    </row>
    <row r="308" spans="1:6" s="245" customFormat="1" ht="27.4" x14ac:dyDescent="0.3">
      <c r="A308" s="288">
        <v>326256</v>
      </c>
      <c r="B308" s="286" t="s">
        <v>4736</v>
      </c>
      <c r="C308" s="252" t="s">
        <v>4741</v>
      </c>
      <c r="D308" s="253" t="s">
        <v>202</v>
      </c>
      <c r="E308" s="254" t="s">
        <v>4737</v>
      </c>
      <c r="F308" s="255">
        <v>45153</v>
      </c>
    </row>
    <row r="309" spans="1:6" s="245" customFormat="1" ht="27.4" x14ac:dyDescent="0.3">
      <c r="A309" s="288">
        <v>25610</v>
      </c>
      <c r="B309" s="286" t="s">
        <v>4735</v>
      </c>
      <c r="C309" s="252" t="s">
        <v>4734</v>
      </c>
      <c r="D309" s="253" t="s">
        <v>455</v>
      </c>
      <c r="E309" s="254" t="s">
        <v>4738</v>
      </c>
      <c r="F309" s="255">
        <v>45090</v>
      </c>
    </row>
    <row r="310" spans="1:6" s="245" customFormat="1" ht="27.4" x14ac:dyDescent="0.3">
      <c r="A310" s="288">
        <v>25461</v>
      </c>
      <c r="B310" s="286" t="s">
        <v>4733</v>
      </c>
      <c r="C310" s="252">
        <v>874537002925</v>
      </c>
      <c r="D310" s="253" t="s">
        <v>202</v>
      </c>
      <c r="E310" s="254" t="s">
        <v>4739</v>
      </c>
      <c r="F310" s="255">
        <v>45083</v>
      </c>
    </row>
    <row r="311" spans="1:6" s="245" customFormat="1" x14ac:dyDescent="0.3">
      <c r="A311" s="288">
        <v>25753</v>
      </c>
      <c r="B311" s="286" t="s">
        <v>4728</v>
      </c>
      <c r="C311" s="252">
        <v>9352420000704</v>
      </c>
      <c r="D311" s="253" t="s">
        <v>202</v>
      </c>
      <c r="E311" s="254" t="s">
        <v>3367</v>
      </c>
      <c r="F311" s="255">
        <v>45083</v>
      </c>
    </row>
    <row r="312" spans="1:6" s="245" customFormat="1" x14ac:dyDescent="0.3">
      <c r="A312" s="289">
        <v>93401</v>
      </c>
      <c r="B312" s="287" t="s">
        <v>4729</v>
      </c>
      <c r="C312" s="252" t="s">
        <v>4732</v>
      </c>
      <c r="D312" s="253" t="s">
        <v>202</v>
      </c>
      <c r="E312" s="254" t="s">
        <v>3367</v>
      </c>
      <c r="F312" s="255">
        <v>45083</v>
      </c>
    </row>
    <row r="313" spans="1:6" s="245" customFormat="1" x14ac:dyDescent="0.3">
      <c r="A313" s="289">
        <v>10717</v>
      </c>
      <c r="B313" s="287" t="s">
        <v>4730</v>
      </c>
      <c r="C313" s="252" t="s">
        <v>4731</v>
      </c>
      <c r="D313" s="253" t="s">
        <v>202</v>
      </c>
      <c r="E313" s="254" t="s">
        <v>3367</v>
      </c>
      <c r="F313" s="255">
        <v>45083</v>
      </c>
    </row>
    <row r="314" spans="1:6" s="245" customFormat="1" x14ac:dyDescent="0.3">
      <c r="A314" s="280">
        <v>19613</v>
      </c>
      <c r="B314" s="263" t="s">
        <v>4726</v>
      </c>
      <c r="C314" s="252">
        <v>19962911743</v>
      </c>
      <c r="D314" s="253" t="s">
        <v>48</v>
      </c>
      <c r="E314" s="254" t="s">
        <v>4727</v>
      </c>
      <c r="F314" s="255">
        <v>45080</v>
      </c>
    </row>
    <row r="315" spans="1:6" s="245" customFormat="1" x14ac:dyDescent="0.3">
      <c r="A315" s="280">
        <v>28796</v>
      </c>
      <c r="B315" s="263" t="s">
        <v>4725</v>
      </c>
      <c r="C315" s="252" t="str">
        <f>"793866530056"</f>
        <v>793866530056</v>
      </c>
      <c r="D315" s="253" t="s">
        <v>4722</v>
      </c>
      <c r="E315" s="254" t="s">
        <v>3367</v>
      </c>
      <c r="F315" s="255">
        <v>45080</v>
      </c>
    </row>
    <row r="316" spans="1:6" s="245" customFormat="1" x14ac:dyDescent="0.3">
      <c r="A316" s="280">
        <v>616334</v>
      </c>
      <c r="B316" s="263" t="s">
        <v>4724</v>
      </c>
      <c r="C316" s="252" t="str">
        <f>"5740700997778"</f>
        <v>5740700997778</v>
      </c>
      <c r="D316" s="253" t="s">
        <v>48</v>
      </c>
      <c r="E316" s="254" t="s">
        <v>3367</v>
      </c>
      <c r="F316" s="255">
        <v>45104</v>
      </c>
    </row>
    <row r="317" spans="1:6" s="245" customFormat="1" x14ac:dyDescent="0.3">
      <c r="A317" s="280">
        <v>26628</v>
      </c>
      <c r="B317" s="263" t="s">
        <v>4723</v>
      </c>
      <c r="C317" s="252" t="str">
        <f>"628250784534"</f>
        <v>628250784534</v>
      </c>
      <c r="D317" s="253" t="s">
        <v>25</v>
      </c>
      <c r="E317" s="254" t="s">
        <v>3367</v>
      </c>
      <c r="F317" s="255">
        <v>45080</v>
      </c>
    </row>
    <row r="318" spans="1:6" s="245" customFormat="1" x14ac:dyDescent="0.3">
      <c r="A318" s="280">
        <v>20265</v>
      </c>
      <c r="B318" s="263" t="s">
        <v>4710</v>
      </c>
      <c r="C318" s="252" t="str">
        <f>"870766000879"</f>
        <v>870766000879</v>
      </c>
      <c r="D318" s="253" t="s">
        <v>25</v>
      </c>
      <c r="E318" s="254" t="s">
        <v>3367</v>
      </c>
      <c r="F318" s="255">
        <v>45097</v>
      </c>
    </row>
    <row r="319" spans="1:6" s="245" customFormat="1" x14ac:dyDescent="0.3">
      <c r="A319" s="280">
        <v>24577</v>
      </c>
      <c r="B319" s="263" t="s">
        <v>4711</v>
      </c>
      <c r="C319" s="252" t="str">
        <f>"742832075527"</f>
        <v>742832075527</v>
      </c>
      <c r="D319" s="253" t="s">
        <v>25</v>
      </c>
      <c r="E319" s="254" t="s">
        <v>3367</v>
      </c>
      <c r="F319" s="255">
        <v>45097</v>
      </c>
    </row>
    <row r="320" spans="1:6" s="245" customFormat="1" x14ac:dyDescent="0.3">
      <c r="A320" s="280">
        <v>25085</v>
      </c>
      <c r="B320" s="263" t="s">
        <v>4712</v>
      </c>
      <c r="C320" s="252" t="str">
        <f>"628679911672"</f>
        <v>628679911672</v>
      </c>
      <c r="D320" s="253" t="s">
        <v>25</v>
      </c>
      <c r="E320" s="254" t="s">
        <v>3367</v>
      </c>
      <c r="F320" s="255">
        <v>45097</v>
      </c>
    </row>
    <row r="321" spans="1:6" s="245" customFormat="1" x14ac:dyDescent="0.3">
      <c r="A321" s="280">
        <v>27233</v>
      </c>
      <c r="B321" s="263" t="s">
        <v>4713</v>
      </c>
      <c r="C321" s="252" t="str">
        <f>"186360051927"</f>
        <v>186360051927</v>
      </c>
      <c r="D321" s="253" t="s">
        <v>124</v>
      </c>
      <c r="E321" s="254" t="s">
        <v>3367</v>
      </c>
      <c r="F321" s="255">
        <v>45097</v>
      </c>
    </row>
    <row r="322" spans="1:6" s="245" customFormat="1" x14ac:dyDescent="0.3">
      <c r="A322" s="280">
        <v>28503</v>
      </c>
      <c r="B322" s="263" t="s">
        <v>4714</v>
      </c>
      <c r="C322" s="252" t="str">
        <f>"818662000562"</f>
        <v>818662000562</v>
      </c>
      <c r="D322" s="253" t="s">
        <v>25</v>
      </c>
      <c r="E322" s="254" t="s">
        <v>3367</v>
      </c>
      <c r="F322" s="255">
        <v>45097</v>
      </c>
    </row>
    <row r="323" spans="1:6" s="245" customFormat="1" x14ac:dyDescent="0.3">
      <c r="A323" s="280">
        <v>31136</v>
      </c>
      <c r="B323" s="263" t="s">
        <v>4715</v>
      </c>
      <c r="C323" s="252" t="str">
        <f>"628055731665"</f>
        <v>628055731665</v>
      </c>
      <c r="D323" s="253" t="s">
        <v>25</v>
      </c>
      <c r="E323" s="254" t="s">
        <v>3367</v>
      </c>
      <c r="F323" s="255">
        <v>45097</v>
      </c>
    </row>
    <row r="324" spans="1:6" s="245" customFormat="1" x14ac:dyDescent="0.3">
      <c r="A324" s="280">
        <v>24617</v>
      </c>
      <c r="B324" s="263" t="s">
        <v>4716</v>
      </c>
      <c r="C324" s="252" t="str">
        <f>"604947481894"</f>
        <v>604947481894</v>
      </c>
      <c r="D324" s="253" t="s">
        <v>25</v>
      </c>
      <c r="E324" s="254" t="s">
        <v>3367</v>
      </c>
      <c r="F324" s="255">
        <v>45097</v>
      </c>
    </row>
    <row r="325" spans="1:6" s="245" customFormat="1" x14ac:dyDescent="0.3">
      <c r="A325" s="280">
        <v>24666</v>
      </c>
      <c r="B325" s="263" t="s">
        <v>4358</v>
      </c>
      <c r="C325" s="252" t="str">
        <f>"626824210045"</f>
        <v>626824210045</v>
      </c>
      <c r="D325" s="253" t="s">
        <v>25</v>
      </c>
      <c r="E325" s="254" t="s">
        <v>3367</v>
      </c>
      <c r="F325" s="255">
        <v>45097</v>
      </c>
    </row>
    <row r="326" spans="1:6" s="245" customFormat="1" x14ac:dyDescent="0.3">
      <c r="A326" s="280">
        <v>25057</v>
      </c>
      <c r="B326" s="263" t="s">
        <v>275</v>
      </c>
      <c r="C326" s="252" t="str">
        <f>"627005094010"</f>
        <v>627005094010</v>
      </c>
      <c r="D326" s="253" t="s">
        <v>25</v>
      </c>
      <c r="E326" s="254" t="s">
        <v>3367</v>
      </c>
      <c r="F326" s="255">
        <v>45097</v>
      </c>
    </row>
    <row r="327" spans="1:6" s="245" customFormat="1" x14ac:dyDescent="0.3">
      <c r="A327" s="280">
        <v>26688</v>
      </c>
      <c r="B327" s="263" t="s">
        <v>4717</v>
      </c>
      <c r="C327" s="252" t="str">
        <f>"627843528104"</f>
        <v>627843528104</v>
      </c>
      <c r="D327" s="253" t="s">
        <v>98</v>
      </c>
      <c r="E327" s="254" t="s">
        <v>3367</v>
      </c>
      <c r="F327" s="255">
        <v>45097</v>
      </c>
    </row>
    <row r="328" spans="1:6" s="245" customFormat="1" x14ac:dyDescent="0.3">
      <c r="A328" s="280">
        <v>28508</v>
      </c>
      <c r="B328" s="263" t="s">
        <v>4718</v>
      </c>
      <c r="C328" s="252" t="str">
        <f>"769503181196"</f>
        <v>769503181196</v>
      </c>
      <c r="D328" s="253" t="s">
        <v>137</v>
      </c>
      <c r="E328" s="254" t="s">
        <v>3367</v>
      </c>
      <c r="F328" s="255">
        <v>45097</v>
      </c>
    </row>
    <row r="329" spans="1:6" s="245" customFormat="1" x14ac:dyDescent="0.3">
      <c r="A329" s="280">
        <v>28637</v>
      </c>
      <c r="B329" s="263" t="s">
        <v>4719</v>
      </c>
      <c r="C329" s="252" t="str">
        <f>"742832061131"</f>
        <v>742832061131</v>
      </c>
      <c r="D329" s="253" t="s">
        <v>25</v>
      </c>
      <c r="E329" s="254" t="s">
        <v>3367</v>
      </c>
      <c r="F329" s="255">
        <v>45097</v>
      </c>
    </row>
    <row r="330" spans="1:6" s="245" customFormat="1" x14ac:dyDescent="0.3">
      <c r="A330" s="280">
        <v>28664</v>
      </c>
      <c r="B330" s="263" t="s">
        <v>4720</v>
      </c>
      <c r="C330" s="252" t="str">
        <f>"051497345730"</f>
        <v>051497345730</v>
      </c>
      <c r="D330" s="253" t="s">
        <v>25</v>
      </c>
      <c r="E330" s="254" t="s">
        <v>3367</v>
      </c>
      <c r="F330" s="255">
        <v>45097</v>
      </c>
    </row>
    <row r="331" spans="1:6" s="245" customFormat="1" x14ac:dyDescent="0.3">
      <c r="A331" s="280">
        <v>28966</v>
      </c>
      <c r="B331" s="263" t="s">
        <v>4721</v>
      </c>
      <c r="C331" s="252" t="str">
        <f>"628028020758"</f>
        <v>628028020758</v>
      </c>
      <c r="D331" s="253" t="s">
        <v>4722</v>
      </c>
      <c r="E331" s="254" t="s">
        <v>3367</v>
      </c>
      <c r="F331" s="255">
        <v>45097</v>
      </c>
    </row>
    <row r="332" spans="1:6" s="245" customFormat="1" x14ac:dyDescent="0.3">
      <c r="A332" s="280">
        <v>628875</v>
      </c>
      <c r="B332" s="263" t="s">
        <v>2978</v>
      </c>
      <c r="C332" s="252" t="str">
        <f>"627843091158"</f>
        <v>627843091158</v>
      </c>
      <c r="D332" s="253" t="s">
        <v>25</v>
      </c>
      <c r="E332" s="254" t="s">
        <v>3367</v>
      </c>
      <c r="F332" s="255">
        <v>45097</v>
      </c>
    </row>
    <row r="333" spans="1:6" s="245" customFormat="1" ht="41.95" x14ac:dyDescent="0.3">
      <c r="A333" s="280">
        <v>25035</v>
      </c>
      <c r="B333" s="263" t="s">
        <v>4708</v>
      </c>
      <c r="C333" s="252" t="str">
        <f>"675325563044"</f>
        <v>675325563044</v>
      </c>
      <c r="D333" s="253" t="s">
        <v>25</v>
      </c>
      <c r="E333" s="260" t="s">
        <v>4709</v>
      </c>
      <c r="F333" s="255">
        <v>45097</v>
      </c>
    </row>
    <row r="334" spans="1:6" s="245" customFormat="1" x14ac:dyDescent="0.3">
      <c r="A334" s="280">
        <v>21254</v>
      </c>
      <c r="B334" s="263" t="s">
        <v>4707</v>
      </c>
      <c r="C334" s="252" t="str">
        <f>"870766000916"</f>
        <v>870766000916</v>
      </c>
      <c r="D334" s="253" t="s">
        <v>25</v>
      </c>
      <c r="E334" s="254" t="s">
        <v>3367</v>
      </c>
      <c r="F334" s="255">
        <v>45076</v>
      </c>
    </row>
    <row r="335" spans="1:6" s="245" customFormat="1" x14ac:dyDescent="0.3">
      <c r="A335" s="280">
        <v>25454</v>
      </c>
      <c r="B335" s="263" t="s">
        <v>4138</v>
      </c>
      <c r="C335" s="252" t="str">
        <f>"793888596917"</f>
        <v>793888596917</v>
      </c>
      <c r="D335" s="253" t="s">
        <v>25</v>
      </c>
      <c r="E335" s="254" t="s">
        <v>3367</v>
      </c>
      <c r="F335" s="255">
        <v>45097</v>
      </c>
    </row>
    <row r="336" spans="1:6" s="245" customFormat="1" x14ac:dyDescent="0.3">
      <c r="A336" s="280">
        <v>31816</v>
      </c>
      <c r="B336" s="263" t="s">
        <v>4705</v>
      </c>
      <c r="C336" s="252" t="str">
        <f>"793888594517"</f>
        <v>793888594517</v>
      </c>
      <c r="D336" s="253" t="s">
        <v>48</v>
      </c>
      <c r="E336" s="254" t="s">
        <v>3367</v>
      </c>
      <c r="F336" s="255">
        <v>45097</v>
      </c>
    </row>
    <row r="337" spans="1:6" s="245" customFormat="1" x14ac:dyDescent="0.3">
      <c r="A337" s="280">
        <v>31980</v>
      </c>
      <c r="B337" s="263" t="s">
        <v>4706</v>
      </c>
      <c r="C337" s="252" t="str">
        <f>"793888272774"</f>
        <v>793888272774</v>
      </c>
      <c r="D337" s="253" t="s">
        <v>25</v>
      </c>
      <c r="E337" s="254" t="s">
        <v>3367</v>
      </c>
      <c r="F337" s="255">
        <v>45097</v>
      </c>
    </row>
    <row r="338" spans="1:6" s="245" customFormat="1" ht="27.95" x14ac:dyDescent="0.3">
      <c r="A338" s="280">
        <v>542027</v>
      </c>
      <c r="B338" s="263" t="s">
        <v>3717</v>
      </c>
      <c r="C338" s="252" t="str">
        <f>"627843736400"</f>
        <v>627843736400</v>
      </c>
      <c r="D338" s="253" t="s">
        <v>25</v>
      </c>
      <c r="E338" s="260" t="s">
        <v>4704</v>
      </c>
      <c r="F338" s="255">
        <v>45090</v>
      </c>
    </row>
    <row r="339" spans="1:6" s="245" customFormat="1" x14ac:dyDescent="0.3">
      <c r="A339" s="280">
        <v>32061</v>
      </c>
      <c r="B339" s="263" t="s">
        <v>4702</v>
      </c>
      <c r="C339" s="252" t="str">
        <f>"062067410109"</f>
        <v>062067410109</v>
      </c>
      <c r="D339" s="253" t="s">
        <v>98</v>
      </c>
      <c r="E339" s="254" t="s">
        <v>4703</v>
      </c>
      <c r="F339" s="255">
        <v>45090</v>
      </c>
    </row>
    <row r="340" spans="1:6" s="247" customFormat="1" ht="12.9" customHeight="1" x14ac:dyDescent="0.25">
      <c r="A340" s="280">
        <v>1818</v>
      </c>
      <c r="B340" s="285" t="s">
        <v>4684</v>
      </c>
      <c r="C340" s="280" t="s">
        <v>4693</v>
      </c>
      <c r="D340" s="253" t="s">
        <v>202</v>
      </c>
      <c r="E340" s="284" t="s">
        <v>4683</v>
      </c>
      <c r="F340" s="255">
        <v>45104</v>
      </c>
    </row>
    <row r="341" spans="1:6" s="247" customFormat="1" ht="13.7" customHeight="1" x14ac:dyDescent="0.25">
      <c r="A341" s="280">
        <v>58594</v>
      </c>
      <c r="B341" s="285" t="s">
        <v>4685</v>
      </c>
      <c r="C341" s="280" t="s">
        <v>4694</v>
      </c>
      <c r="D341" s="253" t="s">
        <v>202</v>
      </c>
      <c r="E341" s="284" t="s">
        <v>4683</v>
      </c>
      <c r="F341" s="255">
        <v>45104</v>
      </c>
    </row>
    <row r="342" spans="1:6" s="247" customFormat="1" ht="13.7" customHeight="1" x14ac:dyDescent="0.25">
      <c r="A342" s="280">
        <v>107714</v>
      </c>
      <c r="B342" s="285" t="s">
        <v>4686</v>
      </c>
      <c r="C342" s="280" t="s">
        <v>4695</v>
      </c>
      <c r="D342" s="253" t="s">
        <v>202</v>
      </c>
      <c r="E342" s="284" t="s">
        <v>4683</v>
      </c>
      <c r="F342" s="255">
        <v>45104</v>
      </c>
    </row>
    <row r="343" spans="1:6" s="247" customFormat="1" ht="13.7" customHeight="1" x14ac:dyDescent="0.25">
      <c r="A343" s="280">
        <v>160523</v>
      </c>
      <c r="B343" s="285" t="s">
        <v>4687</v>
      </c>
      <c r="C343" s="280" t="s">
        <v>4696</v>
      </c>
      <c r="D343" s="253" t="s">
        <v>202</v>
      </c>
      <c r="E343" s="284" t="s">
        <v>4683</v>
      </c>
      <c r="F343" s="255">
        <v>45104</v>
      </c>
    </row>
    <row r="344" spans="1:6" s="247" customFormat="1" ht="13.7" customHeight="1" x14ac:dyDescent="0.25">
      <c r="A344" s="280">
        <v>227009</v>
      </c>
      <c r="B344" s="285" t="s">
        <v>4688</v>
      </c>
      <c r="C344" s="280" t="s">
        <v>4697</v>
      </c>
      <c r="D344" s="253" t="s">
        <v>202</v>
      </c>
      <c r="E344" s="284" t="s">
        <v>4683</v>
      </c>
      <c r="F344" s="255">
        <v>45104</v>
      </c>
    </row>
    <row r="345" spans="1:6" s="247" customFormat="1" ht="13.7" customHeight="1" x14ac:dyDescent="0.25">
      <c r="A345" s="280">
        <v>308486</v>
      </c>
      <c r="B345" s="285" t="s">
        <v>4689</v>
      </c>
      <c r="C345" s="280" t="s">
        <v>4698</v>
      </c>
      <c r="D345" s="253" t="s">
        <v>202</v>
      </c>
      <c r="E345" s="284" t="s">
        <v>4683</v>
      </c>
      <c r="F345" s="255">
        <v>45104</v>
      </c>
    </row>
    <row r="346" spans="1:6" s="247" customFormat="1" ht="13.7" customHeight="1" x14ac:dyDescent="0.25">
      <c r="A346" s="280">
        <v>331215</v>
      </c>
      <c r="B346" s="285" t="s">
        <v>4690</v>
      </c>
      <c r="C346" s="280" t="s">
        <v>4699</v>
      </c>
      <c r="D346" s="253" t="s">
        <v>202</v>
      </c>
      <c r="E346" s="284" t="s">
        <v>4683</v>
      </c>
      <c r="F346" s="255">
        <v>45104</v>
      </c>
    </row>
    <row r="347" spans="1:6" s="247" customFormat="1" ht="13.7" customHeight="1" x14ac:dyDescent="0.25">
      <c r="A347" s="280">
        <v>620096</v>
      </c>
      <c r="B347" s="285" t="s">
        <v>4691</v>
      </c>
      <c r="C347" s="280" t="s">
        <v>4700</v>
      </c>
      <c r="D347" s="253" t="s">
        <v>202</v>
      </c>
      <c r="E347" s="284" t="s">
        <v>4683</v>
      </c>
      <c r="F347" s="255">
        <v>45104</v>
      </c>
    </row>
    <row r="348" spans="1:6" s="247" customFormat="1" ht="13.7" customHeight="1" x14ac:dyDescent="0.25">
      <c r="A348" s="280">
        <v>620104</v>
      </c>
      <c r="B348" s="285" t="s">
        <v>4692</v>
      </c>
      <c r="C348" s="280" t="s">
        <v>4701</v>
      </c>
      <c r="D348" s="253" t="s">
        <v>202</v>
      </c>
      <c r="E348" s="284" t="s">
        <v>4683</v>
      </c>
      <c r="F348" s="255">
        <v>45104</v>
      </c>
    </row>
    <row r="349" spans="1:6" ht="13.7" customHeight="1" x14ac:dyDescent="0.3">
      <c r="A349" s="280">
        <v>485334</v>
      </c>
      <c r="B349" s="283" t="s">
        <v>4681</v>
      </c>
      <c r="C349" s="252">
        <v>405392015012</v>
      </c>
      <c r="D349" s="253" t="s">
        <v>202</v>
      </c>
      <c r="E349" s="254" t="s">
        <v>3367</v>
      </c>
      <c r="F349" s="255">
        <v>45070</v>
      </c>
    </row>
    <row r="350" spans="1:6" ht="13.7" customHeight="1" x14ac:dyDescent="0.3">
      <c r="A350" s="280">
        <v>367318</v>
      </c>
      <c r="B350" s="263" t="s">
        <v>4682</v>
      </c>
      <c r="C350" s="252">
        <v>405392014657</v>
      </c>
      <c r="D350" s="253" t="s">
        <v>202</v>
      </c>
      <c r="E350" s="254" t="s">
        <v>3367</v>
      </c>
      <c r="F350" s="255">
        <v>45070</v>
      </c>
    </row>
    <row r="351" spans="1:6" x14ac:dyDescent="0.3">
      <c r="A351" s="280">
        <v>496968</v>
      </c>
      <c r="B351" s="263" t="s">
        <v>4620</v>
      </c>
      <c r="C351" s="252" t="str">
        <f>"062067547539"</f>
        <v>062067547539</v>
      </c>
      <c r="D351" s="253" t="s">
        <v>98</v>
      </c>
      <c r="E351" s="254" t="s">
        <v>4680</v>
      </c>
      <c r="F351" s="255">
        <v>45070</v>
      </c>
    </row>
    <row r="352" spans="1:6" s="245" customFormat="1" x14ac:dyDescent="0.3">
      <c r="A352" s="280">
        <v>26308</v>
      </c>
      <c r="B352" s="263" t="s">
        <v>4679</v>
      </c>
      <c r="C352" s="252" t="str">
        <f>"062067387920"</f>
        <v>062067387920</v>
      </c>
      <c r="D352" s="253" t="s">
        <v>98</v>
      </c>
      <c r="E352" s="254" t="s">
        <v>3367</v>
      </c>
      <c r="F352" s="255">
        <v>45090</v>
      </c>
    </row>
    <row r="353" spans="1:6" s="245" customFormat="1" ht="13.7" customHeight="1" x14ac:dyDescent="0.3">
      <c r="A353" s="280">
        <v>22779</v>
      </c>
      <c r="B353" s="263" t="s">
        <v>4678</v>
      </c>
      <c r="C353" s="252" t="str">
        <f>"727431851208"</f>
        <v>727431851208</v>
      </c>
      <c r="D353" s="253" t="s">
        <v>124</v>
      </c>
      <c r="E353" s="254" t="s">
        <v>3367</v>
      </c>
      <c r="F353" s="255">
        <v>45065</v>
      </c>
    </row>
    <row r="354" spans="1:6" s="245" customFormat="1" x14ac:dyDescent="0.3">
      <c r="A354" s="280">
        <v>29812</v>
      </c>
      <c r="B354" s="263" t="s">
        <v>4492</v>
      </c>
      <c r="C354" s="252" t="str">
        <f>"691245220324"</f>
        <v>691245220324</v>
      </c>
      <c r="D354" s="253" t="s">
        <v>25</v>
      </c>
      <c r="E354" s="254" t="s">
        <v>3367</v>
      </c>
      <c r="F354" s="255">
        <v>45064</v>
      </c>
    </row>
    <row r="355" spans="1:6" s="245" customFormat="1" x14ac:dyDescent="0.3">
      <c r="A355" s="280">
        <v>15706</v>
      </c>
      <c r="B355" s="263" t="s">
        <v>4677</v>
      </c>
      <c r="C355" s="252" t="str">
        <f>"627843597193"</f>
        <v>627843597193</v>
      </c>
      <c r="D355" s="253" t="s">
        <v>124</v>
      </c>
      <c r="E355" s="254" t="s">
        <v>3367</v>
      </c>
      <c r="F355" s="255">
        <v>45083</v>
      </c>
    </row>
    <row r="356" spans="1:6" s="245" customFormat="1" x14ac:dyDescent="0.3">
      <c r="A356" s="280">
        <v>27608</v>
      </c>
      <c r="B356" s="263" t="s">
        <v>4675</v>
      </c>
      <c r="C356" s="252" t="str">
        <f>"628110037190"</f>
        <v>628110037190</v>
      </c>
      <c r="D356" s="253" t="s">
        <v>25</v>
      </c>
      <c r="E356" s="254" t="s">
        <v>4676</v>
      </c>
      <c r="F356" s="255">
        <v>45063</v>
      </c>
    </row>
    <row r="357" spans="1:6" s="245" customFormat="1" ht="41.95" x14ac:dyDescent="0.3">
      <c r="A357" s="280">
        <v>15041</v>
      </c>
      <c r="B357" s="263" t="s">
        <v>4669</v>
      </c>
      <c r="C357" s="252" t="str">
        <f>"5060190564374"</f>
        <v>5060190564374</v>
      </c>
      <c r="D357" s="253" t="s">
        <v>455</v>
      </c>
      <c r="E357" s="260" t="s">
        <v>4672</v>
      </c>
      <c r="F357" s="255">
        <v>45083</v>
      </c>
    </row>
    <row r="358" spans="1:6" s="245" customFormat="1" ht="41.95" x14ac:dyDescent="0.3">
      <c r="A358" s="280">
        <v>334037</v>
      </c>
      <c r="B358" s="263" t="s">
        <v>4670</v>
      </c>
      <c r="C358" s="252" t="str">
        <f>"5060190560918"</f>
        <v>5060190560918</v>
      </c>
      <c r="D358" s="253" t="s">
        <v>48</v>
      </c>
      <c r="E358" s="260" t="s">
        <v>4673</v>
      </c>
      <c r="F358" s="255">
        <v>45083</v>
      </c>
    </row>
    <row r="359" spans="1:6" s="245" customFormat="1" ht="41.95" x14ac:dyDescent="0.3">
      <c r="A359" s="280">
        <v>377275</v>
      </c>
      <c r="B359" s="263" t="s">
        <v>4671</v>
      </c>
      <c r="C359" s="252" t="str">
        <f>"5060190561151"</f>
        <v>5060190561151</v>
      </c>
      <c r="D359" s="253" t="s">
        <v>48</v>
      </c>
      <c r="E359" s="260" t="s">
        <v>4674</v>
      </c>
      <c r="F359" s="255">
        <v>45083</v>
      </c>
    </row>
    <row r="360" spans="1:6" s="245" customFormat="1" ht="27.95" x14ac:dyDescent="0.3">
      <c r="A360" s="280">
        <v>229039</v>
      </c>
      <c r="B360" s="263" t="s">
        <v>4667</v>
      </c>
      <c r="C360" s="252">
        <v>839743000462</v>
      </c>
      <c r="D360" s="253" t="s">
        <v>202</v>
      </c>
      <c r="E360" s="260" t="s">
        <v>4668</v>
      </c>
      <c r="F360" s="255">
        <v>45070</v>
      </c>
    </row>
    <row r="361" spans="1:6" s="245" customFormat="1" x14ac:dyDescent="0.3">
      <c r="A361" s="280">
        <v>279547</v>
      </c>
      <c r="B361" s="263" t="s">
        <v>4666</v>
      </c>
      <c r="C361" s="252">
        <v>779376323067</v>
      </c>
      <c r="D361" s="253" t="s">
        <v>202</v>
      </c>
      <c r="E361" s="254" t="s">
        <v>3367</v>
      </c>
      <c r="F361" s="255">
        <v>45062</v>
      </c>
    </row>
    <row r="362" spans="1:6" s="245" customFormat="1" x14ac:dyDescent="0.3">
      <c r="A362" s="280">
        <v>517425</v>
      </c>
      <c r="B362" s="263" t="s">
        <v>4665</v>
      </c>
      <c r="C362" s="252">
        <v>840712001137</v>
      </c>
      <c r="D362" s="253" t="s">
        <v>202</v>
      </c>
      <c r="E362" s="254" t="s">
        <v>3367</v>
      </c>
      <c r="F362" s="255">
        <v>45076</v>
      </c>
    </row>
    <row r="363" spans="1:6" s="245" customFormat="1" ht="27.95" x14ac:dyDescent="0.3">
      <c r="A363" s="280">
        <v>18289</v>
      </c>
      <c r="B363" s="263" t="s">
        <v>4412</v>
      </c>
      <c r="C363" s="252">
        <v>874537002253</v>
      </c>
      <c r="D363" s="253" t="s">
        <v>202</v>
      </c>
      <c r="E363" s="254" t="s">
        <v>4664</v>
      </c>
      <c r="F363" s="255">
        <v>45062</v>
      </c>
    </row>
    <row r="364" spans="1:6" s="245" customFormat="1" x14ac:dyDescent="0.3">
      <c r="A364" s="280">
        <v>18288</v>
      </c>
      <c r="B364" s="263" t="s">
        <v>4662</v>
      </c>
      <c r="C364" s="252">
        <v>874537002246</v>
      </c>
      <c r="D364" s="253" t="s">
        <v>202</v>
      </c>
      <c r="E364" s="260" t="s">
        <v>4663</v>
      </c>
      <c r="F364" s="255">
        <v>45062</v>
      </c>
    </row>
    <row r="365" spans="1:6" s="245" customFormat="1" x14ac:dyDescent="0.3">
      <c r="A365" s="280">
        <v>404061</v>
      </c>
      <c r="B365" s="263" t="s">
        <v>4661</v>
      </c>
      <c r="C365" s="252">
        <v>834122000033</v>
      </c>
      <c r="D365" s="253" t="s">
        <v>202</v>
      </c>
      <c r="E365" s="254" t="s">
        <v>3367</v>
      </c>
      <c r="F365" s="255">
        <v>45062</v>
      </c>
    </row>
    <row r="366" spans="1:6" s="245" customFormat="1" x14ac:dyDescent="0.3">
      <c r="A366" s="280">
        <v>25682</v>
      </c>
      <c r="B366" s="263" t="s">
        <v>4659</v>
      </c>
      <c r="C366" s="252" t="str">
        <f>"834965001143"</f>
        <v>834965001143</v>
      </c>
      <c r="D366" s="253" t="s">
        <v>25</v>
      </c>
      <c r="E366" s="254" t="s">
        <v>3367</v>
      </c>
      <c r="F366" s="255">
        <v>45083</v>
      </c>
    </row>
    <row r="367" spans="1:6" s="245" customFormat="1" x14ac:dyDescent="0.3">
      <c r="A367" s="280">
        <v>26055</v>
      </c>
      <c r="B367" s="263" t="s">
        <v>4660</v>
      </c>
      <c r="C367" s="252" t="str">
        <f>"830803008305"</f>
        <v>830803008305</v>
      </c>
      <c r="D367" s="253" t="s">
        <v>1620</v>
      </c>
      <c r="E367" s="254" t="s">
        <v>3367</v>
      </c>
      <c r="F367" s="255">
        <v>45083</v>
      </c>
    </row>
    <row r="368" spans="1:6" s="245" customFormat="1" x14ac:dyDescent="0.3">
      <c r="A368" s="280">
        <v>14987</v>
      </c>
      <c r="B368" s="263" t="s">
        <v>4641</v>
      </c>
      <c r="C368" s="252">
        <v>628669091643</v>
      </c>
      <c r="D368" s="253" t="s">
        <v>98</v>
      </c>
      <c r="E368" s="254" t="s">
        <v>4657</v>
      </c>
      <c r="F368" s="255">
        <v>45083</v>
      </c>
    </row>
    <row r="369" spans="1:6" s="245" customFormat="1" x14ac:dyDescent="0.3">
      <c r="A369" s="280">
        <v>14988</v>
      </c>
      <c r="B369" s="263" t="s">
        <v>4642</v>
      </c>
      <c r="C369" s="252">
        <v>628669091650</v>
      </c>
      <c r="D369" s="253" t="s">
        <v>98</v>
      </c>
      <c r="E369" s="254" t="s">
        <v>4657</v>
      </c>
      <c r="F369" s="255">
        <v>45083</v>
      </c>
    </row>
    <row r="370" spans="1:6" s="245" customFormat="1" x14ac:dyDescent="0.3">
      <c r="A370" s="280">
        <v>14989</v>
      </c>
      <c r="B370" s="263" t="s">
        <v>4643</v>
      </c>
      <c r="C370" s="252">
        <v>628669091667</v>
      </c>
      <c r="D370" s="253" t="s">
        <v>98</v>
      </c>
      <c r="E370" s="254" t="s">
        <v>4657</v>
      </c>
      <c r="F370" s="255">
        <v>45083</v>
      </c>
    </row>
    <row r="371" spans="1:6" s="245" customFormat="1" x14ac:dyDescent="0.3">
      <c r="A371" s="280">
        <v>19994</v>
      </c>
      <c r="B371" s="263" t="s">
        <v>4644</v>
      </c>
      <c r="C371" s="252">
        <v>628669092756</v>
      </c>
      <c r="D371" s="253" t="s">
        <v>98</v>
      </c>
      <c r="E371" s="254" t="s">
        <v>4657</v>
      </c>
      <c r="F371" s="255">
        <v>45083</v>
      </c>
    </row>
    <row r="372" spans="1:6" s="245" customFormat="1" x14ac:dyDescent="0.3">
      <c r="A372" s="280">
        <v>25047</v>
      </c>
      <c r="B372" s="263" t="s">
        <v>4645</v>
      </c>
      <c r="C372" s="252">
        <v>628669093432</v>
      </c>
      <c r="D372" s="253" t="s">
        <v>25</v>
      </c>
      <c r="E372" s="254" t="s">
        <v>4657</v>
      </c>
      <c r="F372" s="255">
        <v>45083</v>
      </c>
    </row>
    <row r="373" spans="1:6" s="245" customFormat="1" x14ac:dyDescent="0.3">
      <c r="A373" s="280">
        <v>25050</v>
      </c>
      <c r="B373" s="263" t="s">
        <v>4646</v>
      </c>
      <c r="C373" s="252">
        <v>628669093661</v>
      </c>
      <c r="D373" s="253" t="s">
        <v>25</v>
      </c>
      <c r="E373" s="254" t="s">
        <v>4657</v>
      </c>
      <c r="F373" s="255">
        <v>45083</v>
      </c>
    </row>
    <row r="374" spans="1:6" s="245" customFormat="1" x14ac:dyDescent="0.3">
      <c r="A374" s="280">
        <v>131490</v>
      </c>
      <c r="B374" s="263" t="s">
        <v>4647</v>
      </c>
      <c r="C374" s="252">
        <v>628669010019</v>
      </c>
      <c r="D374" s="253" t="s">
        <v>25</v>
      </c>
      <c r="E374" s="254" t="s">
        <v>4657</v>
      </c>
      <c r="F374" s="255">
        <v>45083</v>
      </c>
    </row>
    <row r="375" spans="1:6" s="245" customFormat="1" x14ac:dyDescent="0.3">
      <c r="A375" s="280">
        <v>159772</v>
      </c>
      <c r="B375" s="263" t="s">
        <v>4648</v>
      </c>
      <c r="C375" s="252">
        <v>628669020032</v>
      </c>
      <c r="D375" s="253" t="s">
        <v>25</v>
      </c>
      <c r="E375" s="254" t="s">
        <v>4657</v>
      </c>
      <c r="F375" s="255">
        <v>45083</v>
      </c>
    </row>
    <row r="376" spans="1:6" s="245" customFormat="1" x14ac:dyDescent="0.3">
      <c r="A376" s="280">
        <v>175810</v>
      </c>
      <c r="B376" s="263" t="s">
        <v>4649</v>
      </c>
      <c r="C376" s="252">
        <v>628669020018</v>
      </c>
      <c r="D376" s="253" t="s">
        <v>25</v>
      </c>
      <c r="E376" s="254" t="s">
        <v>4657</v>
      </c>
      <c r="F376" s="255">
        <v>45083</v>
      </c>
    </row>
    <row r="377" spans="1:6" s="245" customFormat="1" x14ac:dyDescent="0.3">
      <c r="A377" s="280">
        <v>288837</v>
      </c>
      <c r="B377" s="263" t="s">
        <v>4650</v>
      </c>
      <c r="C377" s="252">
        <v>628669010101</v>
      </c>
      <c r="D377" s="253" t="s">
        <v>25</v>
      </c>
      <c r="E377" s="254" t="s">
        <v>4657</v>
      </c>
      <c r="F377" s="255">
        <v>45083</v>
      </c>
    </row>
    <row r="378" spans="1:6" s="245" customFormat="1" x14ac:dyDescent="0.3">
      <c r="A378" s="280">
        <v>404368</v>
      </c>
      <c r="B378" s="263" t="s">
        <v>4651</v>
      </c>
      <c r="C378" s="252">
        <v>628669010200</v>
      </c>
      <c r="D378" s="253" t="s">
        <v>25</v>
      </c>
      <c r="E378" s="254" t="s">
        <v>4657</v>
      </c>
      <c r="F378" s="255">
        <v>45083</v>
      </c>
    </row>
    <row r="379" spans="1:6" s="245" customFormat="1" x14ac:dyDescent="0.3">
      <c r="A379" s="280">
        <v>31457</v>
      </c>
      <c r="B379" s="263" t="s">
        <v>4652</v>
      </c>
      <c r="C379" s="252">
        <v>628669094088</v>
      </c>
      <c r="D379" s="253" t="s">
        <v>98</v>
      </c>
      <c r="E379" s="254" t="s">
        <v>4657</v>
      </c>
      <c r="F379" s="255">
        <v>45083</v>
      </c>
    </row>
    <row r="380" spans="1:6" s="245" customFormat="1" x14ac:dyDescent="0.3">
      <c r="A380" s="280">
        <v>31454</v>
      </c>
      <c r="B380" s="263" t="s">
        <v>4653</v>
      </c>
      <c r="C380" s="252">
        <v>628669094132</v>
      </c>
      <c r="D380" s="253" t="s">
        <v>2213</v>
      </c>
      <c r="E380" s="254" t="s">
        <v>4657</v>
      </c>
      <c r="F380" s="255">
        <v>45083</v>
      </c>
    </row>
    <row r="381" spans="1:6" s="245" customFormat="1" x14ac:dyDescent="0.3">
      <c r="A381" s="280">
        <v>31456</v>
      </c>
      <c r="B381" s="263" t="s">
        <v>4654</v>
      </c>
      <c r="C381" s="252">
        <v>628669094149</v>
      </c>
      <c r="D381" s="253" t="s">
        <v>25</v>
      </c>
      <c r="E381" s="254" t="s">
        <v>4657</v>
      </c>
      <c r="F381" s="255">
        <v>45083</v>
      </c>
    </row>
    <row r="382" spans="1:6" s="245" customFormat="1" x14ac:dyDescent="0.3">
      <c r="A382" s="280">
        <v>15994</v>
      </c>
      <c r="B382" s="263" t="s">
        <v>3014</v>
      </c>
      <c r="C382" s="252">
        <v>628669091940</v>
      </c>
      <c r="D382" s="253" t="s">
        <v>25</v>
      </c>
      <c r="E382" s="254" t="s">
        <v>4657</v>
      </c>
      <c r="F382" s="255">
        <v>45083</v>
      </c>
    </row>
    <row r="383" spans="1:6" s="245" customFormat="1" x14ac:dyDescent="0.3">
      <c r="A383" s="280">
        <v>30243</v>
      </c>
      <c r="B383" s="263" t="s">
        <v>4655</v>
      </c>
      <c r="C383" s="252">
        <v>627987585148</v>
      </c>
      <c r="D383" s="253" t="s">
        <v>25</v>
      </c>
      <c r="E383" s="254" t="s">
        <v>4658</v>
      </c>
      <c r="F383" s="255">
        <v>45083</v>
      </c>
    </row>
    <row r="384" spans="1:6" s="245" customFormat="1" x14ac:dyDescent="0.3">
      <c r="A384" s="280">
        <v>17117</v>
      </c>
      <c r="B384" s="263" t="s">
        <v>4656</v>
      </c>
      <c r="C384" s="252">
        <v>627987291070</v>
      </c>
      <c r="D384" s="253" t="s">
        <v>25</v>
      </c>
      <c r="E384" s="254" t="s">
        <v>4658</v>
      </c>
      <c r="F384" s="255">
        <v>45083</v>
      </c>
    </row>
    <row r="385" spans="1:6" s="245" customFormat="1" x14ac:dyDescent="0.3">
      <c r="A385" s="280">
        <v>20027</v>
      </c>
      <c r="B385" s="263" t="s">
        <v>4640</v>
      </c>
      <c r="C385" s="252" t="str">
        <f>"627987102468"</f>
        <v>627987102468</v>
      </c>
      <c r="D385" s="253" t="s">
        <v>1620</v>
      </c>
      <c r="E385" s="254" t="s">
        <v>3367</v>
      </c>
      <c r="F385" s="255">
        <v>45056</v>
      </c>
    </row>
    <row r="386" spans="1:6" s="245" customFormat="1" x14ac:dyDescent="0.3">
      <c r="A386" s="280">
        <v>615179</v>
      </c>
      <c r="B386" s="263" t="s">
        <v>4639</v>
      </c>
      <c r="C386" s="252" t="str">
        <f>"088345100050"</f>
        <v>088345100050</v>
      </c>
      <c r="D386" s="253" t="s">
        <v>29</v>
      </c>
      <c r="E386" s="254" t="s">
        <v>3367</v>
      </c>
      <c r="F386" s="255">
        <v>45076</v>
      </c>
    </row>
    <row r="387" spans="1:6" s="245" customFormat="1" x14ac:dyDescent="0.3">
      <c r="A387" s="280">
        <v>26309</v>
      </c>
      <c r="B387" s="263" t="s">
        <v>4637</v>
      </c>
      <c r="C387" s="252" t="str">
        <f>"062067386862"</f>
        <v>062067386862</v>
      </c>
      <c r="D387" s="253" t="s">
        <v>25</v>
      </c>
      <c r="E387" s="254" t="s">
        <v>3367</v>
      </c>
      <c r="F387" s="255">
        <v>45070</v>
      </c>
    </row>
    <row r="388" spans="1:6" s="245" customFormat="1" x14ac:dyDescent="0.3">
      <c r="A388" s="280">
        <v>691113</v>
      </c>
      <c r="B388" s="263" t="s">
        <v>4634</v>
      </c>
      <c r="C388" s="252" t="str">
        <f>"055480017109"</f>
        <v>055480017109</v>
      </c>
      <c r="D388" s="253" t="s">
        <v>106</v>
      </c>
      <c r="E388" s="254" t="s">
        <v>3367</v>
      </c>
      <c r="F388" s="255">
        <v>45050</v>
      </c>
    </row>
    <row r="389" spans="1:6" s="245" customFormat="1" x14ac:dyDescent="0.3">
      <c r="A389" s="280">
        <v>920645</v>
      </c>
      <c r="B389" s="263" t="s">
        <v>4635</v>
      </c>
      <c r="C389" s="252" t="str">
        <f>"055480001009"</f>
        <v>055480001009</v>
      </c>
      <c r="D389" s="253" t="s">
        <v>106</v>
      </c>
      <c r="E389" s="254" t="s">
        <v>3367</v>
      </c>
      <c r="F389" s="255">
        <v>45050</v>
      </c>
    </row>
    <row r="390" spans="1:6" s="245" customFormat="1" x14ac:dyDescent="0.3">
      <c r="A390" s="280">
        <v>922450</v>
      </c>
      <c r="B390" s="263" t="s">
        <v>4636</v>
      </c>
      <c r="C390" s="252" t="str">
        <f>"05548057"</f>
        <v>05548057</v>
      </c>
      <c r="D390" s="253" t="s">
        <v>106</v>
      </c>
      <c r="E390" s="254" t="s">
        <v>3367</v>
      </c>
      <c r="F390" s="255">
        <v>45050</v>
      </c>
    </row>
    <row r="391" spans="1:6" s="245" customFormat="1" x14ac:dyDescent="0.3">
      <c r="A391" s="250">
        <v>179986</v>
      </c>
      <c r="B391" s="251" t="s">
        <v>4632</v>
      </c>
      <c r="C391" s="252" t="str">
        <f>"8023400001332"</f>
        <v>8023400001332</v>
      </c>
      <c r="D391" s="253" t="s">
        <v>29</v>
      </c>
      <c r="E391" s="254" t="s">
        <v>4633</v>
      </c>
      <c r="F391" s="255">
        <v>45070</v>
      </c>
    </row>
    <row r="392" spans="1:6" s="245" customFormat="1" x14ac:dyDescent="0.3">
      <c r="A392" s="280">
        <v>560912</v>
      </c>
      <c r="B392" s="263" t="s">
        <v>4631</v>
      </c>
      <c r="C392" s="252" t="str">
        <f>"034100015053"</f>
        <v>034100015053</v>
      </c>
      <c r="D392" s="253" t="s">
        <v>37</v>
      </c>
      <c r="E392" s="254" t="s">
        <v>3367</v>
      </c>
      <c r="F392" s="255">
        <v>45070</v>
      </c>
    </row>
    <row r="393" spans="1:6" s="245" customFormat="1" x14ac:dyDescent="0.3">
      <c r="A393" s="280">
        <v>25398</v>
      </c>
      <c r="B393" s="263" t="s">
        <v>4630</v>
      </c>
      <c r="C393" s="252" t="str">
        <f>"056910824717"</f>
        <v>056910824717</v>
      </c>
      <c r="D393" s="253" t="s">
        <v>25</v>
      </c>
      <c r="E393" s="254" t="s">
        <v>3367</v>
      </c>
      <c r="F393" s="255">
        <v>45070</v>
      </c>
    </row>
    <row r="394" spans="1:6" s="245" customFormat="1" x14ac:dyDescent="0.3">
      <c r="A394" s="280">
        <v>375204</v>
      </c>
      <c r="B394" s="263" t="s">
        <v>4629</v>
      </c>
      <c r="C394" s="252" t="str">
        <f>"5010549304724"</f>
        <v>5010549304724</v>
      </c>
      <c r="D394" s="253" t="s">
        <v>1818</v>
      </c>
      <c r="E394" s="254" t="s">
        <v>3367</v>
      </c>
      <c r="F394" s="255">
        <v>45048</v>
      </c>
    </row>
    <row r="395" spans="1:6" s="245" customFormat="1" x14ac:dyDescent="0.3">
      <c r="A395" s="280">
        <v>16109</v>
      </c>
      <c r="B395" s="263" t="s">
        <v>4638</v>
      </c>
      <c r="C395" s="252">
        <v>63657041611</v>
      </c>
      <c r="D395" s="253" t="s">
        <v>202</v>
      </c>
      <c r="E395" s="254" t="s">
        <v>3367</v>
      </c>
      <c r="F395" s="255">
        <v>45062</v>
      </c>
    </row>
    <row r="396" spans="1:6" s="245" customFormat="1" x14ac:dyDescent="0.3">
      <c r="A396" s="280">
        <v>26083</v>
      </c>
      <c r="B396" s="263" t="s">
        <v>4626</v>
      </c>
      <c r="C396" s="252" t="s">
        <v>4627</v>
      </c>
      <c r="D396" s="253" t="s">
        <v>455</v>
      </c>
      <c r="E396" s="254" t="s">
        <v>3367</v>
      </c>
      <c r="F396" s="255">
        <v>45062</v>
      </c>
    </row>
    <row r="397" spans="1:6" s="245" customFormat="1" x14ac:dyDescent="0.3">
      <c r="A397" s="280">
        <v>18425</v>
      </c>
      <c r="B397" s="263" t="s">
        <v>4624</v>
      </c>
      <c r="C397" s="252">
        <v>777081418429</v>
      </c>
      <c r="D397" s="253" t="s">
        <v>455</v>
      </c>
      <c r="E397" s="254" t="s">
        <v>3367</v>
      </c>
      <c r="F397" s="255">
        <v>45062</v>
      </c>
    </row>
    <row r="398" spans="1:6" s="245" customFormat="1" x14ac:dyDescent="0.3">
      <c r="A398" s="280">
        <v>18430</v>
      </c>
      <c r="B398" s="263" t="s">
        <v>4625</v>
      </c>
      <c r="C398" s="252">
        <v>777081428473</v>
      </c>
      <c r="D398" s="253" t="s">
        <v>455</v>
      </c>
      <c r="E398" s="254" t="s">
        <v>3367</v>
      </c>
      <c r="F398" s="255">
        <v>45062</v>
      </c>
    </row>
    <row r="399" spans="1:6" s="245" customFormat="1" x14ac:dyDescent="0.3">
      <c r="A399" s="253">
        <v>6452</v>
      </c>
      <c r="B399" s="281" t="s">
        <v>4628</v>
      </c>
      <c r="C399" s="252">
        <v>874537005131</v>
      </c>
      <c r="D399" s="253" t="s">
        <v>202</v>
      </c>
      <c r="E399" s="260" t="s">
        <v>3367</v>
      </c>
      <c r="F399" s="282">
        <v>45062</v>
      </c>
    </row>
    <row r="400" spans="1:6" s="245" customFormat="1" x14ac:dyDescent="0.3">
      <c r="A400" s="280">
        <v>441162</v>
      </c>
      <c r="B400" s="263" t="s">
        <v>3800</v>
      </c>
      <c r="C400" s="252">
        <v>874537018131</v>
      </c>
      <c r="D400" s="253" t="s">
        <v>202</v>
      </c>
      <c r="E400" s="254" t="s">
        <v>3367</v>
      </c>
      <c r="F400" s="255">
        <v>45062</v>
      </c>
    </row>
    <row r="401" spans="1:6" s="245" customFormat="1" x14ac:dyDescent="0.3">
      <c r="A401" s="280">
        <v>560243</v>
      </c>
      <c r="B401" s="263" t="s">
        <v>2462</v>
      </c>
      <c r="C401" s="252">
        <v>874537000716</v>
      </c>
      <c r="D401" s="253" t="s">
        <v>202</v>
      </c>
      <c r="E401" s="254" t="s">
        <v>3367</v>
      </c>
      <c r="F401" s="255">
        <v>45062</v>
      </c>
    </row>
    <row r="402" spans="1:6" s="245" customFormat="1" ht="41.95" x14ac:dyDescent="0.3">
      <c r="A402" s="280">
        <v>119370</v>
      </c>
      <c r="B402" s="263" t="s">
        <v>2708</v>
      </c>
      <c r="C402" s="252" t="str">
        <f>"746546000387"</f>
        <v>746546000387</v>
      </c>
      <c r="D402" s="253" t="s">
        <v>37</v>
      </c>
      <c r="E402" s="254" t="s">
        <v>4623</v>
      </c>
      <c r="F402" s="255">
        <v>45070</v>
      </c>
    </row>
    <row r="403" spans="1:6" s="245" customFormat="1" x14ac:dyDescent="0.3">
      <c r="A403" s="280">
        <v>534925</v>
      </c>
      <c r="B403" s="263" t="s">
        <v>4621</v>
      </c>
      <c r="C403" s="252" t="str">
        <f>"8716700016945"</f>
        <v>8716700016945</v>
      </c>
      <c r="D403" s="253" t="s">
        <v>455</v>
      </c>
      <c r="E403" s="254" t="s">
        <v>3367</v>
      </c>
      <c r="F403" s="255">
        <v>45070</v>
      </c>
    </row>
    <row r="404" spans="1:6" s="245" customFormat="1" x14ac:dyDescent="0.3">
      <c r="A404" s="280">
        <v>535294</v>
      </c>
      <c r="B404" s="263" t="s">
        <v>4622</v>
      </c>
      <c r="C404" s="252" t="str">
        <f>"083741150012"</f>
        <v>083741150012</v>
      </c>
      <c r="D404" s="253" t="s">
        <v>48</v>
      </c>
      <c r="E404" s="254" t="s">
        <v>3367</v>
      </c>
      <c r="F404" s="255">
        <v>45070</v>
      </c>
    </row>
    <row r="405" spans="1:6" s="245" customFormat="1" x14ac:dyDescent="0.3">
      <c r="A405" s="280">
        <v>496968</v>
      </c>
      <c r="B405" s="263" t="s">
        <v>4620</v>
      </c>
      <c r="C405" s="252" t="str">
        <f>"062067547539"</f>
        <v>062067547539</v>
      </c>
      <c r="D405" s="253" t="s">
        <v>98</v>
      </c>
      <c r="E405" s="254" t="s">
        <v>3367</v>
      </c>
      <c r="F405" s="255">
        <v>45070</v>
      </c>
    </row>
    <row r="406" spans="1:6" s="245" customFormat="1" x14ac:dyDescent="0.3">
      <c r="A406" s="280">
        <v>27889</v>
      </c>
      <c r="B406" s="263" t="s">
        <v>4619</v>
      </c>
      <c r="C406" s="252" t="str">
        <f>"062067388675"</f>
        <v>062067388675</v>
      </c>
      <c r="D406" s="253" t="s">
        <v>37</v>
      </c>
      <c r="E406" s="254" t="s">
        <v>3367</v>
      </c>
      <c r="F406" s="255">
        <v>45062</v>
      </c>
    </row>
    <row r="407" spans="1:6" s="245" customFormat="1" x14ac:dyDescent="0.3">
      <c r="A407" s="280">
        <v>19721</v>
      </c>
      <c r="B407" s="263" t="s">
        <v>4109</v>
      </c>
      <c r="C407" s="252" t="str">
        <f>"672975555467"</f>
        <v>672975555467</v>
      </c>
      <c r="D407" s="253" t="s">
        <v>25</v>
      </c>
      <c r="E407" s="254" t="s">
        <v>3367</v>
      </c>
      <c r="F407" s="255">
        <v>45062</v>
      </c>
    </row>
    <row r="408" spans="1:6" s="245" customFormat="1" x14ac:dyDescent="0.3">
      <c r="A408" s="280">
        <v>17816</v>
      </c>
      <c r="B408" s="263" t="s">
        <v>4149</v>
      </c>
      <c r="C408" s="252">
        <v>856217000179</v>
      </c>
      <c r="D408" s="253" t="s">
        <v>25</v>
      </c>
      <c r="E408" s="254" t="s">
        <v>3367</v>
      </c>
      <c r="F408" s="255">
        <v>45042</v>
      </c>
    </row>
    <row r="409" spans="1:6" s="245" customFormat="1" x14ac:dyDescent="0.3">
      <c r="A409" s="280">
        <v>22571</v>
      </c>
      <c r="B409" s="263" t="s">
        <v>4618</v>
      </c>
      <c r="C409" s="252">
        <v>856217001411</v>
      </c>
      <c r="D409" s="253" t="s">
        <v>25</v>
      </c>
      <c r="E409" s="254" t="s">
        <v>3367</v>
      </c>
      <c r="F409" s="255">
        <v>45062</v>
      </c>
    </row>
    <row r="410" spans="1:6" s="245" customFormat="1" x14ac:dyDescent="0.3">
      <c r="A410" s="280">
        <v>23904</v>
      </c>
      <c r="B410" s="263" t="s">
        <v>4617</v>
      </c>
      <c r="C410" s="252" t="str">
        <f>"628176953045"</f>
        <v>628176953045</v>
      </c>
      <c r="D410" s="253" t="s">
        <v>25</v>
      </c>
      <c r="E410" s="254" t="s">
        <v>3367</v>
      </c>
      <c r="F410" s="255">
        <v>45062</v>
      </c>
    </row>
    <row r="411" spans="1:6" s="245" customFormat="1" x14ac:dyDescent="0.3">
      <c r="A411" s="280">
        <v>258665</v>
      </c>
      <c r="B411" s="263" t="s">
        <v>4616</v>
      </c>
      <c r="C411" s="252">
        <v>86003863866</v>
      </c>
      <c r="D411" s="253" t="s">
        <v>496</v>
      </c>
      <c r="E411" s="254" t="s">
        <v>3367</v>
      </c>
      <c r="F411" s="255">
        <v>45062</v>
      </c>
    </row>
    <row r="412" spans="1:6" s="245" customFormat="1" x14ac:dyDescent="0.3">
      <c r="A412" s="280">
        <v>307744</v>
      </c>
      <c r="B412" s="263" t="s">
        <v>4614</v>
      </c>
      <c r="C412" s="252">
        <v>779327110067</v>
      </c>
      <c r="D412" s="253" t="s">
        <v>202</v>
      </c>
      <c r="E412" s="254" t="s">
        <v>3367</v>
      </c>
      <c r="F412" s="255">
        <v>45062</v>
      </c>
    </row>
    <row r="413" spans="1:6" s="245" customFormat="1" x14ac:dyDescent="0.3">
      <c r="A413" s="280">
        <v>307751</v>
      </c>
      <c r="B413" s="263" t="s">
        <v>4615</v>
      </c>
      <c r="C413" s="252">
        <v>779327110074</v>
      </c>
      <c r="D413" s="253" t="s">
        <v>202</v>
      </c>
      <c r="E413" s="254" t="s">
        <v>3367</v>
      </c>
      <c r="F413" s="255">
        <v>45062</v>
      </c>
    </row>
    <row r="414" spans="1:6" s="245" customFormat="1" x14ac:dyDescent="0.3">
      <c r="A414" s="280">
        <v>20808</v>
      </c>
      <c r="B414" s="263" t="s">
        <v>4613</v>
      </c>
      <c r="C414" s="252">
        <v>628176930077</v>
      </c>
      <c r="D414" s="253" t="s">
        <v>202</v>
      </c>
      <c r="E414" s="254" t="s">
        <v>3367</v>
      </c>
      <c r="F414" s="255">
        <v>45062</v>
      </c>
    </row>
    <row r="415" spans="1:6" s="245" customFormat="1" ht="27.95" x14ac:dyDescent="0.3">
      <c r="A415" s="280">
        <v>245340</v>
      </c>
      <c r="B415" s="263" t="s">
        <v>4611</v>
      </c>
      <c r="C415" s="252">
        <v>3391180019317</v>
      </c>
      <c r="D415" s="253" t="s">
        <v>202</v>
      </c>
      <c r="E415" s="254" t="s">
        <v>4612</v>
      </c>
      <c r="F415" s="255">
        <v>45062</v>
      </c>
    </row>
    <row r="416" spans="1:6" s="245" customFormat="1" x14ac:dyDescent="0.3">
      <c r="A416" s="280">
        <v>24621</v>
      </c>
      <c r="B416" s="251" t="s">
        <v>4609</v>
      </c>
      <c r="C416" s="252">
        <v>7350064996577</v>
      </c>
      <c r="D416" s="253" t="s">
        <v>25</v>
      </c>
      <c r="E416" s="254" t="s">
        <v>3367</v>
      </c>
      <c r="F416" s="255">
        <v>45062</v>
      </c>
    </row>
    <row r="417" spans="1:6" s="245" customFormat="1" x14ac:dyDescent="0.3">
      <c r="A417" s="280">
        <v>28416</v>
      </c>
      <c r="B417" s="251" t="s">
        <v>4610</v>
      </c>
      <c r="C417" s="252">
        <v>7350064997215</v>
      </c>
      <c r="D417" s="253" t="s">
        <v>25</v>
      </c>
      <c r="E417" s="254" t="s">
        <v>3367</v>
      </c>
      <c r="F417" s="255">
        <v>45062</v>
      </c>
    </row>
    <row r="418" spans="1:6" s="245" customFormat="1" x14ac:dyDescent="0.3">
      <c r="A418" s="280">
        <v>19980</v>
      </c>
      <c r="B418" s="251" t="s">
        <v>4600</v>
      </c>
      <c r="C418" s="252">
        <v>627843374534</v>
      </c>
      <c r="D418" s="253" t="s">
        <v>98</v>
      </c>
      <c r="E418" s="254" t="s">
        <v>3367</v>
      </c>
      <c r="F418" s="255">
        <v>45055</v>
      </c>
    </row>
    <row r="419" spans="1:6" s="245" customFormat="1" x14ac:dyDescent="0.3">
      <c r="A419" s="280">
        <v>20071</v>
      </c>
      <c r="B419" s="251" t="s">
        <v>4601</v>
      </c>
      <c r="C419" s="252">
        <v>855315006465</v>
      </c>
      <c r="D419" s="253" t="s">
        <v>25</v>
      </c>
      <c r="E419" s="254" t="s">
        <v>3367</v>
      </c>
      <c r="F419" s="255">
        <v>45055</v>
      </c>
    </row>
    <row r="420" spans="1:6" s="245" customFormat="1" x14ac:dyDescent="0.3">
      <c r="A420" s="280">
        <v>20662</v>
      </c>
      <c r="B420" s="251" t="s">
        <v>4602</v>
      </c>
      <c r="C420" s="252">
        <v>855315006502</v>
      </c>
      <c r="D420" s="253" t="s">
        <v>25</v>
      </c>
      <c r="E420" s="254" t="s">
        <v>3367</v>
      </c>
      <c r="F420" s="255">
        <v>45055</v>
      </c>
    </row>
    <row r="421" spans="1:6" s="245" customFormat="1" x14ac:dyDescent="0.3">
      <c r="A421" s="280">
        <v>20871</v>
      </c>
      <c r="B421" s="251" t="s">
        <v>4603</v>
      </c>
      <c r="C421" s="252">
        <v>855315006762</v>
      </c>
      <c r="D421" s="253" t="s">
        <v>25</v>
      </c>
      <c r="E421" s="254" t="s">
        <v>3367</v>
      </c>
      <c r="F421" s="255">
        <v>45055</v>
      </c>
    </row>
    <row r="422" spans="1:6" s="245" customFormat="1" x14ac:dyDescent="0.3">
      <c r="A422" s="280">
        <v>25077</v>
      </c>
      <c r="B422" s="251" t="s">
        <v>4604</v>
      </c>
      <c r="C422" s="252">
        <v>855315007011</v>
      </c>
      <c r="D422" s="253" t="s">
        <v>25</v>
      </c>
      <c r="E422" s="254" t="s">
        <v>3367</v>
      </c>
      <c r="F422" s="255">
        <v>45055</v>
      </c>
    </row>
    <row r="423" spans="1:6" s="245" customFormat="1" x14ac:dyDescent="0.3">
      <c r="A423" s="280">
        <v>25389</v>
      </c>
      <c r="B423" s="251" t="s">
        <v>4605</v>
      </c>
      <c r="C423" s="252">
        <v>855315007233</v>
      </c>
      <c r="D423" s="253" t="s">
        <v>98</v>
      </c>
      <c r="E423" s="254" t="s">
        <v>3367</v>
      </c>
      <c r="F423" s="255">
        <v>45055</v>
      </c>
    </row>
    <row r="424" spans="1:6" s="245" customFormat="1" x14ac:dyDescent="0.3">
      <c r="A424" s="280">
        <v>25425</v>
      </c>
      <c r="B424" s="251" t="s">
        <v>4606</v>
      </c>
      <c r="C424" s="252">
        <v>855315007080</v>
      </c>
      <c r="D424" s="253" t="s">
        <v>98</v>
      </c>
      <c r="E424" s="254" t="s">
        <v>3367</v>
      </c>
      <c r="F424" s="255">
        <v>45055</v>
      </c>
    </row>
    <row r="425" spans="1:6" s="245" customFormat="1" x14ac:dyDescent="0.3">
      <c r="A425" s="280">
        <v>25898</v>
      </c>
      <c r="B425" s="251" t="s">
        <v>4607</v>
      </c>
      <c r="C425" s="252">
        <v>627843374558</v>
      </c>
      <c r="D425" s="253" t="s">
        <v>25</v>
      </c>
      <c r="E425" s="254" t="s">
        <v>3367</v>
      </c>
      <c r="F425" s="255">
        <v>45055</v>
      </c>
    </row>
    <row r="426" spans="1:6" s="245" customFormat="1" x14ac:dyDescent="0.3">
      <c r="A426" s="280">
        <v>26110</v>
      </c>
      <c r="B426" s="251" t="s">
        <v>4608</v>
      </c>
      <c r="C426" s="252">
        <v>855315007035</v>
      </c>
      <c r="D426" s="253" t="s">
        <v>98</v>
      </c>
      <c r="E426" s="254" t="s">
        <v>3367</v>
      </c>
      <c r="F426" s="255">
        <v>45055</v>
      </c>
    </row>
    <row r="427" spans="1:6" s="245" customFormat="1" x14ac:dyDescent="0.3">
      <c r="A427" s="280">
        <v>28740</v>
      </c>
      <c r="B427" s="251" t="s">
        <v>4598</v>
      </c>
      <c r="C427" s="252">
        <v>186360051941</v>
      </c>
      <c r="D427" s="253" t="s">
        <v>25</v>
      </c>
      <c r="E427" s="254" t="s">
        <v>3367</v>
      </c>
      <c r="F427" s="255">
        <v>45035</v>
      </c>
    </row>
    <row r="428" spans="1:6" s="245" customFormat="1" x14ac:dyDescent="0.3">
      <c r="A428" s="280">
        <v>31550</v>
      </c>
      <c r="B428" s="251" t="s">
        <v>4599</v>
      </c>
      <c r="C428" s="252">
        <v>186360051859</v>
      </c>
      <c r="D428" s="253" t="s">
        <v>25</v>
      </c>
      <c r="E428" s="254" t="s">
        <v>3367</v>
      </c>
      <c r="F428" s="255">
        <v>45055</v>
      </c>
    </row>
    <row r="429" spans="1:6" s="245" customFormat="1" x14ac:dyDescent="0.3">
      <c r="A429" s="280">
        <v>28527</v>
      </c>
      <c r="B429" s="251" t="s">
        <v>4261</v>
      </c>
      <c r="C429" s="252">
        <v>186360051835</v>
      </c>
      <c r="D429" s="253" t="s">
        <v>25</v>
      </c>
      <c r="E429" s="254" t="s">
        <v>3367</v>
      </c>
      <c r="F429" s="255">
        <v>45055</v>
      </c>
    </row>
    <row r="430" spans="1:6" s="245" customFormat="1" x14ac:dyDescent="0.3">
      <c r="A430" s="250">
        <v>177717</v>
      </c>
      <c r="B430" s="251" t="s">
        <v>4596</v>
      </c>
      <c r="C430" s="252" t="str">
        <f>"056327263932"</f>
        <v>056327263932</v>
      </c>
      <c r="D430" s="253" t="s">
        <v>25</v>
      </c>
      <c r="E430" s="254" t="s">
        <v>4597</v>
      </c>
      <c r="F430" s="255">
        <v>45055</v>
      </c>
    </row>
    <row r="431" spans="1:6" s="245" customFormat="1" x14ac:dyDescent="0.3">
      <c r="A431" s="253">
        <v>22274</v>
      </c>
      <c r="B431" s="251" t="s">
        <v>4594</v>
      </c>
      <c r="C431" s="252">
        <v>727530566881</v>
      </c>
      <c r="D431" s="253" t="s">
        <v>455</v>
      </c>
      <c r="E431" s="254" t="s">
        <v>3367</v>
      </c>
      <c r="F431" s="255">
        <v>45048</v>
      </c>
    </row>
    <row r="432" spans="1:6" s="245" customFormat="1" x14ac:dyDescent="0.3">
      <c r="A432" s="253">
        <v>22273</v>
      </c>
      <c r="B432" s="251" t="s">
        <v>4595</v>
      </c>
      <c r="C432" s="252">
        <v>727530566898</v>
      </c>
      <c r="D432" s="253" t="s">
        <v>455</v>
      </c>
      <c r="E432" s="254" t="s">
        <v>3367</v>
      </c>
      <c r="F432" s="255">
        <v>45048</v>
      </c>
    </row>
    <row r="433" spans="1:6" s="245" customFormat="1" ht="27.95" x14ac:dyDescent="0.3">
      <c r="A433" s="250">
        <v>508671</v>
      </c>
      <c r="B433" s="251" t="s">
        <v>4585</v>
      </c>
      <c r="C433" s="252">
        <v>839587000086</v>
      </c>
      <c r="D433" s="253" t="s">
        <v>455</v>
      </c>
      <c r="E433" s="254" t="s">
        <v>4589</v>
      </c>
      <c r="F433" s="255">
        <v>45034</v>
      </c>
    </row>
    <row r="434" spans="1:6" s="245" customFormat="1" ht="27.95" x14ac:dyDescent="0.3">
      <c r="A434" s="250">
        <v>475236</v>
      </c>
      <c r="B434" s="251" t="s">
        <v>4586</v>
      </c>
      <c r="C434" s="252">
        <v>839587000116</v>
      </c>
      <c r="D434" s="253" t="s">
        <v>48</v>
      </c>
      <c r="E434" s="254" t="s">
        <v>4590</v>
      </c>
      <c r="F434" s="255">
        <v>45048</v>
      </c>
    </row>
    <row r="435" spans="1:6" s="245" customFormat="1" x14ac:dyDescent="0.3">
      <c r="A435" s="250">
        <v>480293</v>
      </c>
      <c r="B435" s="251" t="s">
        <v>226</v>
      </c>
      <c r="C435" s="252">
        <v>839587000611</v>
      </c>
      <c r="D435" s="253" t="s">
        <v>48</v>
      </c>
      <c r="E435" s="254" t="s">
        <v>4591</v>
      </c>
      <c r="F435" s="255">
        <v>45048</v>
      </c>
    </row>
    <row r="436" spans="1:6" s="245" customFormat="1" x14ac:dyDescent="0.3">
      <c r="A436" s="250">
        <v>560136</v>
      </c>
      <c r="B436" s="251" t="s">
        <v>4587</v>
      </c>
      <c r="C436" s="252">
        <v>839587000710</v>
      </c>
      <c r="D436" s="253" t="s">
        <v>25</v>
      </c>
      <c r="E436" s="254" t="s">
        <v>4592</v>
      </c>
      <c r="F436" s="255">
        <v>45048</v>
      </c>
    </row>
    <row r="437" spans="1:6" s="245" customFormat="1" ht="27.95" x14ac:dyDescent="0.3">
      <c r="A437" s="250">
        <v>560177</v>
      </c>
      <c r="B437" s="251" t="s">
        <v>4588</v>
      </c>
      <c r="C437" s="252">
        <v>839587000628</v>
      </c>
      <c r="D437" s="253" t="s">
        <v>25</v>
      </c>
      <c r="E437" s="254" t="s">
        <v>4593</v>
      </c>
      <c r="F437" s="255">
        <v>45048</v>
      </c>
    </row>
    <row r="438" spans="1:6" s="245" customFormat="1" x14ac:dyDescent="0.3">
      <c r="A438" s="250">
        <v>28504</v>
      </c>
      <c r="B438" s="251" t="s">
        <v>4584</v>
      </c>
      <c r="C438" s="252" t="str">
        <f>"812339001043"</f>
        <v>812339001043</v>
      </c>
      <c r="D438" s="253" t="s">
        <v>25</v>
      </c>
      <c r="E438" s="254" t="s">
        <v>3367</v>
      </c>
      <c r="F438" s="255">
        <v>45048</v>
      </c>
    </row>
    <row r="439" spans="1:6" s="245" customFormat="1" x14ac:dyDescent="0.3">
      <c r="A439" s="250">
        <v>32050</v>
      </c>
      <c r="B439" s="251" t="s">
        <v>4581</v>
      </c>
      <c r="C439" s="252" t="str">
        <f>"620707101987"</f>
        <v>620707101987</v>
      </c>
      <c r="D439" s="253" t="s">
        <v>25</v>
      </c>
      <c r="E439" s="254" t="s">
        <v>4583</v>
      </c>
      <c r="F439" s="255">
        <v>45048</v>
      </c>
    </row>
    <row r="440" spans="1:6" s="245" customFormat="1" x14ac:dyDescent="0.3">
      <c r="A440" s="250">
        <v>32053</v>
      </c>
      <c r="B440" s="251" t="s">
        <v>4582</v>
      </c>
      <c r="C440" s="252" t="str">
        <f>"620707123255"</f>
        <v>620707123255</v>
      </c>
      <c r="D440" s="253" t="s">
        <v>98</v>
      </c>
      <c r="E440" s="254" t="s">
        <v>4583</v>
      </c>
      <c r="F440" s="255">
        <v>45048</v>
      </c>
    </row>
    <row r="441" spans="1:6" s="245" customFormat="1" x14ac:dyDescent="0.3">
      <c r="A441" s="250">
        <v>21206</v>
      </c>
      <c r="B441" s="251" t="s">
        <v>4580</v>
      </c>
      <c r="C441" s="252" t="str">
        <f>"675325010241"</f>
        <v>675325010241</v>
      </c>
      <c r="D441" s="253" t="s">
        <v>124</v>
      </c>
      <c r="E441" s="254" t="s">
        <v>3367</v>
      </c>
      <c r="F441" s="255">
        <v>45048</v>
      </c>
    </row>
    <row r="442" spans="1:6" s="245" customFormat="1" x14ac:dyDescent="0.3">
      <c r="A442" s="250">
        <v>10059</v>
      </c>
      <c r="B442" s="251" t="s">
        <v>4576</v>
      </c>
      <c r="C442" s="252">
        <v>834873000238</v>
      </c>
      <c r="D442" s="253" t="s">
        <v>25</v>
      </c>
      <c r="E442" s="254" t="s">
        <v>3367</v>
      </c>
      <c r="F442" s="255">
        <v>45029</v>
      </c>
    </row>
    <row r="443" spans="1:6" s="245" customFormat="1" x14ac:dyDescent="0.3">
      <c r="A443" s="250">
        <v>22239</v>
      </c>
      <c r="B443" s="251" t="s">
        <v>4577</v>
      </c>
      <c r="C443" s="252">
        <v>834873000344</v>
      </c>
      <c r="D443" s="253" t="s">
        <v>25</v>
      </c>
      <c r="E443" s="254" t="s">
        <v>3367</v>
      </c>
      <c r="F443" s="255">
        <v>45029</v>
      </c>
    </row>
    <row r="444" spans="1:6" s="245" customFormat="1" x14ac:dyDescent="0.3">
      <c r="A444" s="250">
        <v>25258</v>
      </c>
      <c r="B444" s="251" t="s">
        <v>4578</v>
      </c>
      <c r="C444" s="252">
        <v>834873000368</v>
      </c>
      <c r="D444" s="253" t="s">
        <v>555</v>
      </c>
      <c r="E444" s="254" t="s">
        <v>3367</v>
      </c>
      <c r="F444" s="255">
        <v>45048</v>
      </c>
    </row>
    <row r="445" spans="1:6" s="245" customFormat="1" x14ac:dyDescent="0.3">
      <c r="A445" s="250">
        <v>29811</v>
      </c>
      <c r="B445" s="251" t="s">
        <v>4579</v>
      </c>
      <c r="C445" s="252">
        <v>834873000399</v>
      </c>
      <c r="D445" s="253" t="s">
        <v>25</v>
      </c>
      <c r="E445" s="254" t="s">
        <v>3367</v>
      </c>
      <c r="F445" s="255">
        <v>45048</v>
      </c>
    </row>
    <row r="446" spans="1:6" s="245" customFormat="1" x14ac:dyDescent="0.3">
      <c r="A446" s="250">
        <v>25052</v>
      </c>
      <c r="B446" s="251" t="s">
        <v>4569</v>
      </c>
      <c r="C446" s="252">
        <v>628669093678</v>
      </c>
      <c r="D446" s="253" t="s">
        <v>25</v>
      </c>
      <c r="E446" s="254" t="s">
        <v>3367</v>
      </c>
      <c r="F446" s="255">
        <v>45048</v>
      </c>
    </row>
    <row r="447" spans="1:6" s="245" customFormat="1" x14ac:dyDescent="0.3">
      <c r="A447" s="250">
        <v>28089</v>
      </c>
      <c r="B447" s="251" t="s">
        <v>4280</v>
      </c>
      <c r="C447" s="252">
        <v>628669093784</v>
      </c>
      <c r="D447" s="253" t="s">
        <v>25</v>
      </c>
      <c r="E447" s="254" t="s">
        <v>3367</v>
      </c>
      <c r="F447" s="255">
        <v>45048</v>
      </c>
    </row>
    <row r="448" spans="1:6" s="245" customFormat="1" x14ac:dyDescent="0.3">
      <c r="A448" s="250">
        <v>28741</v>
      </c>
      <c r="B448" s="251" t="s">
        <v>4570</v>
      </c>
      <c r="C448" s="252">
        <v>628669093791</v>
      </c>
      <c r="D448" s="253" t="s">
        <v>25</v>
      </c>
      <c r="E448" s="254" t="s">
        <v>3367</v>
      </c>
      <c r="F448" s="255">
        <v>45048</v>
      </c>
    </row>
    <row r="449" spans="1:6" s="245" customFormat="1" x14ac:dyDescent="0.3">
      <c r="A449" s="250">
        <v>21432</v>
      </c>
      <c r="B449" s="251" t="s">
        <v>4571</v>
      </c>
      <c r="C449" s="252">
        <v>627987585117</v>
      </c>
      <c r="D449" s="253" t="s">
        <v>1620</v>
      </c>
      <c r="E449" s="254" t="s">
        <v>3367</v>
      </c>
      <c r="F449" s="255">
        <v>45048</v>
      </c>
    </row>
    <row r="450" spans="1:6" s="245" customFormat="1" x14ac:dyDescent="0.3">
      <c r="A450" s="250">
        <v>15415</v>
      </c>
      <c r="B450" s="251" t="s">
        <v>4572</v>
      </c>
      <c r="C450" s="252">
        <v>628669091971</v>
      </c>
      <c r="D450" s="253" t="s">
        <v>25</v>
      </c>
      <c r="E450" s="254" t="s">
        <v>4574</v>
      </c>
      <c r="F450" s="255">
        <v>45048</v>
      </c>
    </row>
    <row r="451" spans="1:6" s="245" customFormat="1" x14ac:dyDescent="0.3">
      <c r="A451" s="250">
        <v>25051</v>
      </c>
      <c r="B451" s="251" t="s">
        <v>4573</v>
      </c>
      <c r="C451" s="252">
        <v>628669093685</v>
      </c>
      <c r="D451" s="253" t="s">
        <v>98</v>
      </c>
      <c r="E451" s="254" t="s">
        <v>4575</v>
      </c>
      <c r="F451" s="255">
        <v>45048</v>
      </c>
    </row>
    <row r="452" spans="1:6" s="245" customFormat="1" x14ac:dyDescent="0.3">
      <c r="A452" s="250">
        <v>15100</v>
      </c>
      <c r="B452" s="251" t="s">
        <v>4566</v>
      </c>
      <c r="C452" s="252" t="str">
        <f>"620707111917"</f>
        <v>620707111917</v>
      </c>
      <c r="D452" s="253" t="s">
        <v>25</v>
      </c>
      <c r="E452" s="254" t="s">
        <v>3367</v>
      </c>
      <c r="F452" s="255">
        <v>45041</v>
      </c>
    </row>
    <row r="453" spans="1:6" s="245" customFormat="1" x14ac:dyDescent="0.3">
      <c r="A453" s="250">
        <v>28499</v>
      </c>
      <c r="B453" s="251" t="s">
        <v>4567</v>
      </c>
      <c r="C453" s="252" t="str">
        <f>"620707565123"</f>
        <v>620707565123</v>
      </c>
      <c r="D453" s="253" t="s">
        <v>98</v>
      </c>
      <c r="E453" s="254" t="s">
        <v>3367</v>
      </c>
      <c r="F453" s="255">
        <v>45041</v>
      </c>
    </row>
    <row r="454" spans="1:6" s="245" customFormat="1" x14ac:dyDescent="0.3">
      <c r="A454" s="250">
        <v>31951</v>
      </c>
      <c r="B454" s="251" t="s">
        <v>4568</v>
      </c>
      <c r="C454" s="252" t="str">
        <f>"621433060043"</f>
        <v>621433060043</v>
      </c>
      <c r="D454" s="253" t="s">
        <v>25</v>
      </c>
      <c r="E454" s="254" t="s">
        <v>3367</v>
      </c>
      <c r="F454" s="255">
        <v>45041</v>
      </c>
    </row>
    <row r="455" spans="1:6" s="245" customFormat="1" x14ac:dyDescent="0.3">
      <c r="A455" s="250">
        <v>518795</v>
      </c>
      <c r="B455" s="251" t="s">
        <v>940</v>
      </c>
      <c r="C455" s="252" t="str">
        <f>"7350064990759"</f>
        <v>7350064990759</v>
      </c>
      <c r="D455" s="253" t="s">
        <v>25</v>
      </c>
      <c r="E455" s="254" t="s">
        <v>4565</v>
      </c>
      <c r="F455" s="255">
        <v>45041</v>
      </c>
    </row>
    <row r="456" spans="1:6" s="245" customFormat="1" x14ac:dyDescent="0.3">
      <c r="A456" s="250">
        <v>518274</v>
      </c>
      <c r="B456" s="251" t="s">
        <v>1058</v>
      </c>
      <c r="C456" s="252">
        <v>628669062032</v>
      </c>
      <c r="D456" s="253" t="s">
        <v>25</v>
      </c>
      <c r="E456" s="254" t="s">
        <v>3367</v>
      </c>
      <c r="F456" s="255">
        <v>45028</v>
      </c>
    </row>
    <row r="457" spans="1:6" s="245" customFormat="1" x14ac:dyDescent="0.3">
      <c r="A457" s="250">
        <v>15256</v>
      </c>
      <c r="B457" s="251" t="s">
        <v>4533</v>
      </c>
      <c r="C457" s="252" t="str">
        <f>"062067380631"</f>
        <v>062067380631</v>
      </c>
      <c r="D457" s="253" t="s">
        <v>98</v>
      </c>
      <c r="E457" s="254" t="s">
        <v>4535</v>
      </c>
      <c r="F457" s="255">
        <v>45034</v>
      </c>
    </row>
    <row r="458" spans="1:6" s="245" customFormat="1" x14ac:dyDescent="0.3">
      <c r="A458" s="250">
        <v>516880</v>
      </c>
      <c r="B458" s="251" t="s">
        <v>4534</v>
      </c>
      <c r="C458" s="252" t="str">
        <f>"855315003013"</f>
        <v>855315003013</v>
      </c>
      <c r="D458" s="253" t="s">
        <v>98</v>
      </c>
      <c r="E458" s="254" t="s">
        <v>4536</v>
      </c>
      <c r="F458" s="255">
        <v>45034</v>
      </c>
    </row>
    <row r="459" spans="1:6" s="246" customFormat="1" x14ac:dyDescent="0.3">
      <c r="A459" s="256">
        <v>337881</v>
      </c>
      <c r="B459" s="257" t="s">
        <v>2949</v>
      </c>
      <c r="C459" s="258" t="str">
        <f>"4066600010197"</f>
        <v>4066600010197</v>
      </c>
      <c r="D459" s="259" t="s">
        <v>48</v>
      </c>
      <c r="E459" s="260" t="s">
        <v>4537</v>
      </c>
      <c r="F459" s="255">
        <v>45034</v>
      </c>
    </row>
    <row r="460" spans="1:6" s="245" customFormat="1" x14ac:dyDescent="0.3">
      <c r="A460" s="250">
        <v>26075</v>
      </c>
      <c r="B460" s="251" t="s">
        <v>4251</v>
      </c>
      <c r="C460" s="252" t="str">
        <f>"674687100072"</f>
        <v>674687100072</v>
      </c>
      <c r="D460" s="253" t="s">
        <v>25</v>
      </c>
      <c r="E460" s="254" t="s">
        <v>4538</v>
      </c>
      <c r="F460" s="255">
        <v>45055</v>
      </c>
    </row>
    <row r="461" spans="1:6" s="245" customFormat="1" x14ac:dyDescent="0.3">
      <c r="A461" s="250">
        <v>26076</v>
      </c>
      <c r="B461" s="251" t="s">
        <v>4532</v>
      </c>
      <c r="C461" s="252" t="str">
        <f>"674687100065"</f>
        <v>674687100065</v>
      </c>
      <c r="D461" s="253" t="s">
        <v>25</v>
      </c>
      <c r="E461" s="254" t="s">
        <v>4538</v>
      </c>
      <c r="F461" s="255">
        <v>45055</v>
      </c>
    </row>
    <row r="462" spans="1:6" s="245" customFormat="1" x14ac:dyDescent="0.3">
      <c r="A462" s="250">
        <v>418848</v>
      </c>
      <c r="B462" s="251" t="s">
        <v>3141</v>
      </c>
      <c r="C462" s="252" t="str">
        <f>"674687100133"</f>
        <v>674687100133</v>
      </c>
      <c r="D462" s="253" t="s">
        <v>25</v>
      </c>
      <c r="E462" s="254" t="s">
        <v>4538</v>
      </c>
      <c r="F462" s="255">
        <v>45055</v>
      </c>
    </row>
    <row r="463" spans="1:6" s="245" customFormat="1" x14ac:dyDescent="0.3">
      <c r="A463" s="250">
        <v>423137</v>
      </c>
      <c r="B463" s="251" t="s">
        <v>3142</v>
      </c>
      <c r="C463" s="252" t="str">
        <f>"674687100126"</f>
        <v>674687100126</v>
      </c>
      <c r="D463" s="253" t="s">
        <v>25</v>
      </c>
      <c r="E463" s="254" t="s">
        <v>4538</v>
      </c>
      <c r="F463" s="255">
        <v>45055</v>
      </c>
    </row>
    <row r="464" spans="1:6" s="246" customFormat="1" x14ac:dyDescent="0.3">
      <c r="A464" s="261">
        <v>453084</v>
      </c>
      <c r="B464" s="257" t="s">
        <v>4531</v>
      </c>
      <c r="C464" s="258">
        <v>3185370000335</v>
      </c>
      <c r="D464" s="259" t="s">
        <v>202</v>
      </c>
      <c r="E464" s="260" t="s">
        <v>4539</v>
      </c>
      <c r="F464" s="255">
        <v>45048</v>
      </c>
    </row>
    <row r="465" spans="1:6" s="246" customFormat="1" x14ac:dyDescent="0.3">
      <c r="A465" s="256">
        <v>28808</v>
      </c>
      <c r="B465" s="257" t="s">
        <v>4530</v>
      </c>
      <c r="C465" s="258" t="str">
        <f>"855315007158"</f>
        <v>855315007158</v>
      </c>
      <c r="D465" s="259" t="s">
        <v>25</v>
      </c>
      <c r="E465" s="254" t="s">
        <v>3367</v>
      </c>
      <c r="F465" s="255">
        <v>45034</v>
      </c>
    </row>
    <row r="466" spans="1:6" s="246" customFormat="1" x14ac:dyDescent="0.3">
      <c r="A466" s="256">
        <v>12457</v>
      </c>
      <c r="B466" s="257" t="s">
        <v>4006</v>
      </c>
      <c r="C466" s="258">
        <v>727530566850</v>
      </c>
      <c r="D466" s="259" t="s">
        <v>25</v>
      </c>
      <c r="E466" s="254" t="s">
        <v>3367</v>
      </c>
      <c r="F466" s="255">
        <v>45034</v>
      </c>
    </row>
    <row r="467" spans="1:6" s="246" customFormat="1" x14ac:dyDescent="0.3">
      <c r="A467" s="256">
        <v>27188</v>
      </c>
      <c r="B467" s="257" t="s">
        <v>4529</v>
      </c>
      <c r="C467" s="258">
        <v>727530567307</v>
      </c>
      <c r="D467" s="259" t="s">
        <v>25</v>
      </c>
      <c r="E467" s="254" t="s">
        <v>3367</v>
      </c>
      <c r="F467" s="255">
        <v>45034</v>
      </c>
    </row>
    <row r="468" spans="1:6" s="246" customFormat="1" x14ac:dyDescent="0.3">
      <c r="A468" s="256">
        <v>18439</v>
      </c>
      <c r="B468" s="247" t="s">
        <v>4527</v>
      </c>
      <c r="C468" s="258">
        <v>874537002710</v>
      </c>
      <c r="D468" s="259" t="s">
        <v>455</v>
      </c>
      <c r="E468" s="260" t="s">
        <v>4528</v>
      </c>
      <c r="F468" s="255">
        <v>45019</v>
      </c>
    </row>
    <row r="469" spans="1:6" s="246" customFormat="1" x14ac:dyDescent="0.3">
      <c r="A469" s="256">
        <v>20119</v>
      </c>
      <c r="B469" s="257" t="s">
        <v>3859</v>
      </c>
      <c r="C469" s="258" t="str">
        <f>"186360010290"</f>
        <v>186360010290</v>
      </c>
      <c r="D469" s="259" t="s">
        <v>25</v>
      </c>
      <c r="E469" s="254" t="s">
        <v>3367</v>
      </c>
      <c r="F469" s="255">
        <v>45034</v>
      </c>
    </row>
    <row r="470" spans="1:6" s="246" customFormat="1" ht="27.95" x14ac:dyDescent="0.3">
      <c r="A470" s="256">
        <v>420356</v>
      </c>
      <c r="B470" s="257" t="s">
        <v>4526</v>
      </c>
      <c r="C470" s="258" t="str">
        <f>"627843372127"</f>
        <v>627843372127</v>
      </c>
      <c r="D470" s="259" t="s">
        <v>25</v>
      </c>
      <c r="E470" s="260" t="s">
        <v>4540</v>
      </c>
      <c r="F470" s="255">
        <v>45028</v>
      </c>
    </row>
    <row r="471" spans="1:6" s="246" customFormat="1" x14ac:dyDescent="0.3">
      <c r="A471" s="256">
        <v>22195</v>
      </c>
      <c r="B471" s="257" t="s">
        <v>4525</v>
      </c>
      <c r="C471" s="258">
        <v>8002062020141</v>
      </c>
      <c r="D471" s="259" t="s">
        <v>202</v>
      </c>
      <c r="E471" s="260" t="s">
        <v>4541</v>
      </c>
      <c r="F471" s="255">
        <v>45048</v>
      </c>
    </row>
    <row r="472" spans="1:6" s="246" customFormat="1" ht="27.95" x14ac:dyDescent="0.3">
      <c r="A472" s="261">
        <v>148866</v>
      </c>
      <c r="B472" s="247" t="s">
        <v>4524</v>
      </c>
      <c r="C472" s="258">
        <v>180756000995</v>
      </c>
      <c r="D472" s="259" t="s">
        <v>202</v>
      </c>
      <c r="E472" s="254" t="s">
        <v>4557</v>
      </c>
      <c r="F472" s="255">
        <v>45013</v>
      </c>
    </row>
    <row r="473" spans="1:6" s="246" customFormat="1" ht="27.95" x14ac:dyDescent="0.3">
      <c r="A473" s="256">
        <v>11562</v>
      </c>
      <c r="B473" s="257" t="s">
        <v>2507</v>
      </c>
      <c r="C473" s="258">
        <v>627987151299</v>
      </c>
      <c r="D473" s="259" t="s">
        <v>25</v>
      </c>
      <c r="E473" s="260" t="s">
        <v>4542</v>
      </c>
      <c r="F473" s="255">
        <v>45028</v>
      </c>
    </row>
    <row r="474" spans="1:6" s="246" customFormat="1" ht="27.95" x14ac:dyDescent="0.3">
      <c r="A474" s="256">
        <v>16150</v>
      </c>
      <c r="B474" s="257" t="s">
        <v>4521</v>
      </c>
      <c r="C474" s="258">
        <v>627987151268</v>
      </c>
      <c r="D474" s="259" t="s">
        <v>25</v>
      </c>
      <c r="E474" s="260" t="s">
        <v>4542</v>
      </c>
      <c r="F474" s="255">
        <v>45028</v>
      </c>
    </row>
    <row r="475" spans="1:6" s="246" customFormat="1" ht="27.95" x14ac:dyDescent="0.3">
      <c r="A475" s="256">
        <v>21208</v>
      </c>
      <c r="B475" s="257" t="s">
        <v>4522</v>
      </c>
      <c r="C475" s="258">
        <v>627987151275</v>
      </c>
      <c r="D475" s="259" t="s">
        <v>25</v>
      </c>
      <c r="E475" s="260" t="s">
        <v>4542</v>
      </c>
      <c r="F475" s="255">
        <v>45028</v>
      </c>
    </row>
    <row r="476" spans="1:6" s="246" customFormat="1" ht="27.95" x14ac:dyDescent="0.3">
      <c r="A476" s="256">
        <v>25017</v>
      </c>
      <c r="B476" s="257" t="s">
        <v>4523</v>
      </c>
      <c r="C476" s="258">
        <v>627987151329</v>
      </c>
      <c r="D476" s="259" t="s">
        <v>25</v>
      </c>
      <c r="E476" s="260" t="s">
        <v>4542</v>
      </c>
      <c r="F476" s="255">
        <v>45028</v>
      </c>
    </row>
    <row r="477" spans="1:6" s="246" customFormat="1" x14ac:dyDescent="0.3">
      <c r="A477" s="256">
        <v>300681</v>
      </c>
      <c r="B477" s="257" t="s">
        <v>4518</v>
      </c>
      <c r="C477" s="258" t="str">
        <f>"056327007956"</f>
        <v>056327007956</v>
      </c>
      <c r="D477" s="259" t="s">
        <v>98</v>
      </c>
      <c r="E477" s="260" t="s">
        <v>4543</v>
      </c>
      <c r="F477" s="255">
        <v>45028</v>
      </c>
    </row>
    <row r="478" spans="1:6" s="246" customFormat="1" x14ac:dyDescent="0.3">
      <c r="A478" s="256">
        <v>300699</v>
      </c>
      <c r="B478" s="257" t="s">
        <v>4519</v>
      </c>
      <c r="C478" s="258" t="str">
        <f>"056327007949"</f>
        <v>056327007949</v>
      </c>
      <c r="D478" s="259" t="s">
        <v>98</v>
      </c>
      <c r="E478" s="260" t="s">
        <v>4544</v>
      </c>
      <c r="F478" s="255">
        <v>45028</v>
      </c>
    </row>
    <row r="479" spans="1:6" s="246" customFormat="1" x14ac:dyDescent="0.3">
      <c r="A479" s="256">
        <v>544833</v>
      </c>
      <c r="B479" s="257" t="s">
        <v>4520</v>
      </c>
      <c r="C479" s="258" t="str">
        <f>"056327012387"</f>
        <v>056327012387</v>
      </c>
      <c r="D479" s="259" t="s">
        <v>37</v>
      </c>
      <c r="E479" s="260" t="s">
        <v>4545</v>
      </c>
      <c r="F479" s="255">
        <v>45028</v>
      </c>
    </row>
    <row r="480" spans="1:6" s="246" customFormat="1" x14ac:dyDescent="0.3">
      <c r="A480" s="256">
        <v>12854</v>
      </c>
      <c r="B480" s="257" t="s">
        <v>3856</v>
      </c>
      <c r="C480" s="258" t="str">
        <f>"186360010146"</f>
        <v>186360010146</v>
      </c>
      <c r="D480" s="259" t="s">
        <v>25</v>
      </c>
      <c r="E480" s="254" t="s">
        <v>3367</v>
      </c>
      <c r="F480" s="255">
        <v>45028</v>
      </c>
    </row>
    <row r="481" spans="1:6" s="246" customFormat="1" x14ac:dyDescent="0.3">
      <c r="A481" s="256">
        <v>30712</v>
      </c>
      <c r="B481" s="257" t="s">
        <v>4517</v>
      </c>
      <c r="C481" s="258" t="str">
        <f>"793888595910"</f>
        <v>793888595910</v>
      </c>
      <c r="D481" s="259" t="s">
        <v>25</v>
      </c>
      <c r="E481" s="254" t="s">
        <v>3367</v>
      </c>
      <c r="F481" s="255">
        <v>45013</v>
      </c>
    </row>
    <row r="482" spans="1:6" s="246" customFormat="1" x14ac:dyDescent="0.3">
      <c r="A482" s="256">
        <v>18319</v>
      </c>
      <c r="B482" s="257" t="s">
        <v>4516</v>
      </c>
      <c r="C482" s="258" t="str">
        <f>"674687100270"</f>
        <v>674687100270</v>
      </c>
      <c r="D482" s="259" t="s">
        <v>25</v>
      </c>
      <c r="E482" s="254" t="s">
        <v>3367</v>
      </c>
      <c r="F482" s="255">
        <v>45020</v>
      </c>
    </row>
    <row r="483" spans="1:6" s="246" customFormat="1" x14ac:dyDescent="0.3">
      <c r="A483" s="256">
        <v>22198</v>
      </c>
      <c r="B483" s="257" t="s">
        <v>4515</v>
      </c>
      <c r="C483" s="258">
        <v>9300727024602</v>
      </c>
      <c r="D483" s="259" t="s">
        <v>202</v>
      </c>
      <c r="E483" s="254" t="s">
        <v>3367</v>
      </c>
      <c r="F483" s="255">
        <v>45006</v>
      </c>
    </row>
    <row r="484" spans="1:6" s="246" customFormat="1" x14ac:dyDescent="0.3">
      <c r="A484" s="256">
        <v>394072</v>
      </c>
      <c r="B484" s="247" t="s">
        <v>4514</v>
      </c>
      <c r="C484" s="258">
        <v>891238000227</v>
      </c>
      <c r="D484" s="259" t="s">
        <v>202</v>
      </c>
      <c r="E484" s="254" t="s">
        <v>3367</v>
      </c>
      <c r="F484" s="255">
        <v>45006</v>
      </c>
    </row>
    <row r="485" spans="1:6" s="246" customFormat="1" x14ac:dyDescent="0.3">
      <c r="A485" s="256">
        <v>27682</v>
      </c>
      <c r="B485" s="257" t="s">
        <v>4513</v>
      </c>
      <c r="C485" s="258">
        <v>8008863069310</v>
      </c>
      <c r="D485" s="259" t="s">
        <v>455</v>
      </c>
      <c r="E485" s="254" t="s">
        <v>3367</v>
      </c>
      <c r="F485" s="255">
        <v>45006</v>
      </c>
    </row>
    <row r="486" spans="1:6" s="246" customFormat="1" ht="27.95" x14ac:dyDescent="0.3">
      <c r="A486" s="261">
        <v>605667</v>
      </c>
      <c r="B486" s="257" t="s">
        <v>4512</v>
      </c>
      <c r="C486" s="258">
        <v>3337690172975</v>
      </c>
      <c r="D486" s="259" t="s">
        <v>202</v>
      </c>
      <c r="E486" s="254" t="s">
        <v>4558</v>
      </c>
      <c r="F486" s="255">
        <v>45020</v>
      </c>
    </row>
    <row r="487" spans="1:6" s="246" customFormat="1" x14ac:dyDescent="0.3">
      <c r="A487" s="256">
        <v>620773</v>
      </c>
      <c r="B487" s="257" t="s">
        <v>2848</v>
      </c>
      <c r="C487" s="258">
        <v>8002062001652</v>
      </c>
      <c r="D487" s="259" t="s">
        <v>202</v>
      </c>
      <c r="E487" s="260" t="s">
        <v>4546</v>
      </c>
      <c r="F487" s="255">
        <v>45027</v>
      </c>
    </row>
    <row r="488" spans="1:6" s="246" customFormat="1" x14ac:dyDescent="0.3">
      <c r="A488" s="256">
        <v>26312</v>
      </c>
      <c r="B488" s="257" t="s">
        <v>4509</v>
      </c>
      <c r="C488" s="258" t="str">
        <f>"830803008206"</f>
        <v>830803008206</v>
      </c>
      <c r="D488" s="259" t="s">
        <v>1620</v>
      </c>
      <c r="E488" s="254" t="s">
        <v>3367</v>
      </c>
      <c r="F488" s="255">
        <v>45003</v>
      </c>
    </row>
    <row r="489" spans="1:6" s="246" customFormat="1" x14ac:dyDescent="0.3">
      <c r="A489" s="256">
        <v>121491</v>
      </c>
      <c r="B489" s="257" t="s">
        <v>4510</v>
      </c>
      <c r="C489" s="258" t="str">
        <f>"830803000071"</f>
        <v>830803000071</v>
      </c>
      <c r="D489" s="259" t="s">
        <v>25</v>
      </c>
      <c r="E489" s="254" t="s">
        <v>3367</v>
      </c>
      <c r="F489" s="255">
        <v>45003</v>
      </c>
    </row>
    <row r="490" spans="1:6" s="246" customFormat="1" x14ac:dyDescent="0.3">
      <c r="A490" s="256">
        <v>400853</v>
      </c>
      <c r="B490" s="257" t="s">
        <v>4511</v>
      </c>
      <c r="C490" s="258" t="str">
        <f>"627843405085"</f>
        <v>627843405085</v>
      </c>
      <c r="D490" s="259" t="s">
        <v>25</v>
      </c>
      <c r="E490" s="254" t="s">
        <v>3367</v>
      </c>
      <c r="F490" s="255">
        <v>45003</v>
      </c>
    </row>
    <row r="491" spans="1:6" s="246" customFormat="1" x14ac:dyDescent="0.3">
      <c r="A491" s="256">
        <v>16165</v>
      </c>
      <c r="B491" s="257" t="s">
        <v>4507</v>
      </c>
      <c r="C491" s="258" t="str">
        <f>"628110289018"</f>
        <v>628110289018</v>
      </c>
      <c r="D491" s="259" t="s">
        <v>25</v>
      </c>
      <c r="E491" s="254" t="s">
        <v>3367</v>
      </c>
      <c r="F491" s="255">
        <v>45020</v>
      </c>
    </row>
    <row r="492" spans="1:6" s="246" customFormat="1" x14ac:dyDescent="0.3">
      <c r="A492" s="256">
        <v>21850</v>
      </c>
      <c r="B492" s="257" t="s">
        <v>4508</v>
      </c>
      <c r="C492" s="258" t="str">
        <f>"628110289025"</f>
        <v>628110289025</v>
      </c>
      <c r="D492" s="259" t="s">
        <v>25</v>
      </c>
      <c r="E492" s="254" t="s">
        <v>3367</v>
      </c>
      <c r="F492" s="255">
        <v>45020</v>
      </c>
    </row>
    <row r="493" spans="1:6" s="246" customFormat="1" x14ac:dyDescent="0.3">
      <c r="A493" s="256">
        <v>16422</v>
      </c>
      <c r="B493" s="257" t="s">
        <v>4506</v>
      </c>
      <c r="C493" s="258" t="str">
        <f>"717390417003"</f>
        <v>717390417003</v>
      </c>
      <c r="D493" s="259" t="s">
        <v>25</v>
      </c>
      <c r="E493" s="254" t="s">
        <v>3367</v>
      </c>
      <c r="F493" s="255">
        <v>45013</v>
      </c>
    </row>
    <row r="494" spans="1:6" s="246" customFormat="1" x14ac:dyDescent="0.3">
      <c r="A494" s="256">
        <v>568360</v>
      </c>
      <c r="B494" s="257" t="s">
        <v>4505</v>
      </c>
      <c r="C494" s="258" t="str">
        <f>"627843936220"</f>
        <v>627843936220</v>
      </c>
      <c r="D494" s="259" t="s">
        <v>25</v>
      </c>
      <c r="E494" s="254" t="s">
        <v>3367</v>
      </c>
      <c r="F494" s="255">
        <v>44999</v>
      </c>
    </row>
    <row r="495" spans="1:6" s="246" customFormat="1" x14ac:dyDescent="0.3">
      <c r="A495" s="256">
        <v>29521</v>
      </c>
      <c r="B495" s="257" t="s">
        <v>4504</v>
      </c>
      <c r="C495" s="258" t="str">
        <f>"793888279872"</f>
        <v>793888279872</v>
      </c>
      <c r="D495" s="259" t="s">
        <v>48</v>
      </c>
      <c r="E495" s="254" t="s">
        <v>3367</v>
      </c>
      <c r="F495" s="255">
        <v>45013</v>
      </c>
    </row>
    <row r="496" spans="1:6" s="245" customFormat="1" ht="27.95" x14ac:dyDescent="0.3">
      <c r="A496" s="262">
        <v>129783</v>
      </c>
      <c r="B496" s="263" t="s">
        <v>4503</v>
      </c>
      <c r="C496" s="264" t="str">
        <f>"082054104422"</f>
        <v>082054104422</v>
      </c>
      <c r="D496" s="253" t="s">
        <v>29</v>
      </c>
      <c r="E496" s="254" t="s">
        <v>4559</v>
      </c>
      <c r="F496" s="255">
        <v>45013</v>
      </c>
    </row>
    <row r="497" spans="1:6" s="246" customFormat="1" x14ac:dyDescent="0.3">
      <c r="A497" s="256">
        <v>628404</v>
      </c>
      <c r="B497" s="257" t="s">
        <v>4501</v>
      </c>
      <c r="C497" s="258" t="s">
        <v>4502</v>
      </c>
      <c r="D497" s="259" t="s">
        <v>202</v>
      </c>
      <c r="E497" s="254" t="s">
        <v>3367</v>
      </c>
      <c r="F497" s="255">
        <v>45013</v>
      </c>
    </row>
    <row r="498" spans="1:6" s="246" customFormat="1" x14ac:dyDescent="0.3">
      <c r="A498" s="256">
        <v>27757</v>
      </c>
      <c r="B498" s="257" t="s">
        <v>4371</v>
      </c>
      <c r="C498" s="258">
        <v>779373645100</v>
      </c>
      <c r="D498" s="259" t="s">
        <v>202</v>
      </c>
      <c r="E498" s="254" t="s">
        <v>3367</v>
      </c>
      <c r="F498" s="255">
        <v>44999</v>
      </c>
    </row>
    <row r="499" spans="1:6" s="246" customFormat="1" x14ac:dyDescent="0.3">
      <c r="A499" s="256">
        <v>27732</v>
      </c>
      <c r="B499" s="257" t="s">
        <v>4500</v>
      </c>
      <c r="C499" s="258">
        <v>779373645209</v>
      </c>
      <c r="D499" s="259" t="s">
        <v>202</v>
      </c>
      <c r="E499" s="254" t="s">
        <v>3367</v>
      </c>
      <c r="F499" s="255">
        <v>44999</v>
      </c>
    </row>
    <row r="500" spans="1:6" s="246" customFormat="1" x14ac:dyDescent="0.3">
      <c r="A500" s="265">
        <v>526228</v>
      </c>
      <c r="B500" s="257" t="s">
        <v>4499</v>
      </c>
      <c r="C500" s="258" t="s">
        <v>619</v>
      </c>
      <c r="D500" s="259" t="s">
        <v>202</v>
      </c>
      <c r="E500" s="254" t="s">
        <v>3367</v>
      </c>
      <c r="F500" s="255">
        <v>45013</v>
      </c>
    </row>
    <row r="501" spans="1:6" s="246" customFormat="1" x14ac:dyDescent="0.3">
      <c r="A501" s="256">
        <v>26090</v>
      </c>
      <c r="B501" s="257" t="s">
        <v>4498</v>
      </c>
      <c r="C501" s="258" t="str">
        <f>"180288000036"</f>
        <v>180288000036</v>
      </c>
      <c r="D501" s="259" t="s">
        <v>25</v>
      </c>
      <c r="E501" s="254" t="s">
        <v>3367</v>
      </c>
      <c r="F501" s="255">
        <v>45006</v>
      </c>
    </row>
    <row r="502" spans="1:6" s="246" customFormat="1" x14ac:dyDescent="0.3">
      <c r="A502" s="256">
        <v>449256</v>
      </c>
      <c r="B502" s="257" t="s">
        <v>3143</v>
      </c>
      <c r="C502" s="258" t="str">
        <f>"674687100140"</f>
        <v>674687100140</v>
      </c>
      <c r="D502" s="259" t="s">
        <v>25</v>
      </c>
      <c r="E502" s="254" t="s">
        <v>3367</v>
      </c>
      <c r="F502" s="255">
        <v>45006</v>
      </c>
    </row>
    <row r="503" spans="1:6" s="246" customFormat="1" x14ac:dyDescent="0.3">
      <c r="A503" s="256">
        <v>480012</v>
      </c>
      <c r="B503" s="257" t="s">
        <v>4476</v>
      </c>
      <c r="C503" s="258" t="str">
        <f>"812339000374"</f>
        <v>812339000374</v>
      </c>
      <c r="D503" s="259" t="s">
        <v>25</v>
      </c>
      <c r="E503" s="254" t="s">
        <v>3367</v>
      </c>
      <c r="F503" s="255">
        <v>44987</v>
      </c>
    </row>
    <row r="504" spans="1:6" s="246" customFormat="1" x14ac:dyDescent="0.3">
      <c r="A504" s="256">
        <v>479485</v>
      </c>
      <c r="B504" s="257" t="s">
        <v>4475</v>
      </c>
      <c r="C504" s="258" t="str">
        <f>"742832060813"</f>
        <v>742832060813</v>
      </c>
      <c r="D504" s="259" t="s">
        <v>25</v>
      </c>
      <c r="E504" s="254" t="s">
        <v>3367</v>
      </c>
      <c r="F504" s="255">
        <v>45006</v>
      </c>
    </row>
    <row r="505" spans="1:6" s="246" customFormat="1" x14ac:dyDescent="0.3">
      <c r="A505" s="256">
        <v>552653</v>
      </c>
      <c r="B505" s="257" t="s">
        <v>4497</v>
      </c>
      <c r="C505" s="258" t="str">
        <f>"627843853411"</f>
        <v>627843853411</v>
      </c>
      <c r="D505" s="259" t="s">
        <v>25</v>
      </c>
      <c r="E505" s="254" t="s">
        <v>3367</v>
      </c>
      <c r="F505" s="255">
        <v>45006</v>
      </c>
    </row>
    <row r="506" spans="1:6" s="246" customFormat="1" x14ac:dyDescent="0.3">
      <c r="A506" s="256">
        <v>13681</v>
      </c>
      <c r="B506" s="257" t="s">
        <v>3858</v>
      </c>
      <c r="C506" s="258" t="str">
        <f>"186360000499"</f>
        <v>186360000499</v>
      </c>
      <c r="D506" s="259" t="s">
        <v>25</v>
      </c>
      <c r="E506" s="254" t="s">
        <v>3367</v>
      </c>
      <c r="F506" s="255">
        <v>45006</v>
      </c>
    </row>
    <row r="507" spans="1:6" s="246" customFormat="1" ht="27.95" x14ac:dyDescent="0.3">
      <c r="A507" s="256">
        <v>19609</v>
      </c>
      <c r="B507" s="257" t="s">
        <v>4489</v>
      </c>
      <c r="C507" s="258" t="str">
        <f>"691245100022"</f>
        <v>691245100022</v>
      </c>
      <c r="D507" s="259" t="s">
        <v>25</v>
      </c>
      <c r="E507" s="260" t="s">
        <v>4547</v>
      </c>
      <c r="F507" s="255">
        <v>44999</v>
      </c>
    </row>
    <row r="508" spans="1:6" s="246" customFormat="1" ht="27.95" x14ac:dyDescent="0.3">
      <c r="A508" s="256">
        <v>23047</v>
      </c>
      <c r="B508" s="257" t="s">
        <v>4490</v>
      </c>
      <c r="C508" s="258" t="str">
        <f>"691245000131"</f>
        <v>691245000131</v>
      </c>
      <c r="D508" s="259" t="s">
        <v>25</v>
      </c>
      <c r="E508" s="260" t="s">
        <v>4547</v>
      </c>
      <c r="F508" s="255">
        <v>44999</v>
      </c>
    </row>
    <row r="509" spans="1:6" s="246" customFormat="1" ht="27.95" x14ac:dyDescent="0.3">
      <c r="A509" s="256">
        <v>26870</v>
      </c>
      <c r="B509" s="257" t="s">
        <v>4491</v>
      </c>
      <c r="C509" s="258" t="str">
        <f>"691245100053"</f>
        <v>691245100053</v>
      </c>
      <c r="D509" s="259" t="s">
        <v>98</v>
      </c>
      <c r="E509" s="260" t="s">
        <v>4547</v>
      </c>
      <c r="F509" s="255">
        <v>44999</v>
      </c>
    </row>
    <row r="510" spans="1:6" s="246" customFormat="1" ht="27.95" x14ac:dyDescent="0.3">
      <c r="A510" s="256">
        <v>29812</v>
      </c>
      <c r="B510" s="257" t="s">
        <v>4492</v>
      </c>
      <c r="C510" s="258" t="str">
        <f>"691245220324"</f>
        <v>691245220324</v>
      </c>
      <c r="D510" s="259" t="s">
        <v>25</v>
      </c>
      <c r="E510" s="260" t="s">
        <v>4547</v>
      </c>
      <c r="F510" s="255">
        <v>44999</v>
      </c>
    </row>
    <row r="511" spans="1:6" s="246" customFormat="1" ht="27.95" x14ac:dyDescent="0.3">
      <c r="A511" s="256">
        <v>513002</v>
      </c>
      <c r="B511" s="257" t="s">
        <v>4493</v>
      </c>
      <c r="C511" s="258" t="str">
        <f>"627843580256"</f>
        <v>627843580256</v>
      </c>
      <c r="D511" s="259" t="s">
        <v>25</v>
      </c>
      <c r="E511" s="260" t="s">
        <v>4547</v>
      </c>
      <c r="F511" s="255">
        <v>44999</v>
      </c>
    </row>
    <row r="512" spans="1:6" s="246" customFormat="1" ht="27.95" x14ac:dyDescent="0.3">
      <c r="A512" s="256">
        <v>513036</v>
      </c>
      <c r="B512" s="257" t="s">
        <v>4494</v>
      </c>
      <c r="C512" s="258" t="str">
        <f>"627843580249"</f>
        <v>627843580249</v>
      </c>
      <c r="D512" s="259" t="s">
        <v>25</v>
      </c>
      <c r="E512" s="260" t="s">
        <v>4547</v>
      </c>
      <c r="F512" s="255">
        <v>44999</v>
      </c>
    </row>
    <row r="513" spans="1:6" s="246" customFormat="1" ht="27.95" x14ac:dyDescent="0.3">
      <c r="A513" s="256">
        <v>513044</v>
      </c>
      <c r="B513" s="257" t="s">
        <v>4495</v>
      </c>
      <c r="C513" s="258" t="str">
        <f>"627843580232"</f>
        <v>627843580232</v>
      </c>
      <c r="D513" s="259" t="s">
        <v>25</v>
      </c>
      <c r="E513" s="260" t="s">
        <v>4547</v>
      </c>
      <c r="F513" s="255">
        <v>44999</v>
      </c>
    </row>
    <row r="514" spans="1:6" s="246" customFormat="1" ht="27.95" x14ac:dyDescent="0.3">
      <c r="A514" s="256">
        <v>519827</v>
      </c>
      <c r="B514" s="257" t="s">
        <v>4496</v>
      </c>
      <c r="C514" s="258" t="str">
        <f>"627843580263"</f>
        <v>627843580263</v>
      </c>
      <c r="D514" s="259" t="s">
        <v>124</v>
      </c>
      <c r="E514" s="260" t="s">
        <v>4547</v>
      </c>
      <c r="F514" s="255">
        <v>44999</v>
      </c>
    </row>
    <row r="515" spans="1:6" s="246" customFormat="1" x14ac:dyDescent="0.3">
      <c r="A515" s="256">
        <v>648642</v>
      </c>
      <c r="B515" s="257" t="s">
        <v>4487</v>
      </c>
      <c r="C515" s="258">
        <v>663935100384</v>
      </c>
      <c r="D515" s="259" t="s">
        <v>202</v>
      </c>
      <c r="E515" s="254" t="s">
        <v>3367</v>
      </c>
      <c r="F515" s="255">
        <v>44999</v>
      </c>
    </row>
    <row r="516" spans="1:6" s="246" customFormat="1" x14ac:dyDescent="0.3">
      <c r="A516" s="256">
        <v>159962</v>
      </c>
      <c r="B516" s="257" t="s">
        <v>4488</v>
      </c>
      <c r="C516" s="258">
        <v>663935100094</v>
      </c>
      <c r="D516" s="259" t="s">
        <v>202</v>
      </c>
      <c r="E516" s="254" t="s">
        <v>3367</v>
      </c>
      <c r="F516" s="255">
        <v>44999</v>
      </c>
    </row>
    <row r="517" spans="1:6" s="246" customFormat="1" x14ac:dyDescent="0.3">
      <c r="A517" s="256">
        <v>395616</v>
      </c>
      <c r="B517" s="257" t="s">
        <v>2616</v>
      </c>
      <c r="C517" s="258">
        <v>627128601300</v>
      </c>
      <c r="D517" s="259" t="s">
        <v>202</v>
      </c>
      <c r="E517" s="254" t="s">
        <v>3367</v>
      </c>
      <c r="F517" s="255">
        <v>44999</v>
      </c>
    </row>
    <row r="518" spans="1:6" s="246" customFormat="1" x14ac:dyDescent="0.3">
      <c r="A518" s="256">
        <v>118786</v>
      </c>
      <c r="B518" s="257" t="s">
        <v>4484</v>
      </c>
      <c r="C518" s="258" t="str">
        <f>"1859401282138"</f>
        <v>1859401282138</v>
      </c>
      <c r="D518" s="259" t="s">
        <v>37</v>
      </c>
      <c r="E518" s="254" t="s">
        <v>3367</v>
      </c>
      <c r="F518" s="255">
        <v>44999</v>
      </c>
    </row>
    <row r="519" spans="1:6" s="246" customFormat="1" x14ac:dyDescent="0.3">
      <c r="A519" s="256">
        <v>28137</v>
      </c>
      <c r="B519" s="257" t="s">
        <v>4485</v>
      </c>
      <c r="C519" s="258" t="str">
        <f>"621433066038"</f>
        <v>621433066038</v>
      </c>
      <c r="D519" s="259" t="s">
        <v>98</v>
      </c>
      <c r="E519" s="254" t="s">
        <v>3367</v>
      </c>
      <c r="F519" s="255">
        <v>44979</v>
      </c>
    </row>
    <row r="520" spans="1:6" s="246" customFormat="1" x14ac:dyDescent="0.3">
      <c r="A520" s="256">
        <v>30365</v>
      </c>
      <c r="B520" s="257" t="s">
        <v>4486</v>
      </c>
      <c r="C520" s="258" t="str">
        <f>"621433062047"</f>
        <v>621433062047</v>
      </c>
      <c r="D520" s="259" t="s">
        <v>25</v>
      </c>
      <c r="E520" s="254" t="s">
        <v>3367</v>
      </c>
      <c r="F520" s="255">
        <v>44979</v>
      </c>
    </row>
    <row r="521" spans="1:6" s="246" customFormat="1" ht="27.95" x14ac:dyDescent="0.3">
      <c r="A521" s="266">
        <v>542027</v>
      </c>
      <c r="B521" s="257" t="s">
        <v>3717</v>
      </c>
      <c r="C521" s="258">
        <v>627843736400</v>
      </c>
      <c r="D521" s="259" t="s">
        <v>25</v>
      </c>
      <c r="E521" s="254" t="s">
        <v>4548</v>
      </c>
      <c r="F521" s="255">
        <v>44992</v>
      </c>
    </row>
    <row r="522" spans="1:6" s="246" customFormat="1" ht="27.95" x14ac:dyDescent="0.3">
      <c r="A522" s="267">
        <v>23257</v>
      </c>
      <c r="B522" s="257" t="s">
        <v>4482</v>
      </c>
      <c r="C522" s="258">
        <v>62798747105</v>
      </c>
      <c r="D522" s="259" t="s">
        <v>1620</v>
      </c>
      <c r="E522" s="254" t="s">
        <v>4549</v>
      </c>
      <c r="F522" s="255">
        <v>44992</v>
      </c>
    </row>
    <row r="523" spans="1:6" s="246" customFormat="1" x14ac:dyDescent="0.3">
      <c r="A523" s="267">
        <v>433631</v>
      </c>
      <c r="B523" s="257" t="s">
        <v>4483</v>
      </c>
      <c r="C523" s="258" t="str">
        <f>"4000856004531"</f>
        <v>4000856004531</v>
      </c>
      <c r="D523" s="259" t="s">
        <v>48</v>
      </c>
      <c r="E523" s="254" t="s">
        <v>3367</v>
      </c>
      <c r="F523" s="255">
        <v>44992</v>
      </c>
    </row>
    <row r="524" spans="1:6" s="246" customFormat="1" x14ac:dyDescent="0.3">
      <c r="A524" s="267">
        <v>10229</v>
      </c>
      <c r="B524" s="257" t="s">
        <v>4450</v>
      </c>
      <c r="C524" s="258" t="str">
        <f>"620707855101"</f>
        <v>620707855101</v>
      </c>
      <c r="D524" s="259" t="s">
        <v>37</v>
      </c>
      <c r="E524" s="254" t="s">
        <v>3367</v>
      </c>
      <c r="F524" s="255">
        <v>44992</v>
      </c>
    </row>
    <row r="525" spans="1:6" s="246" customFormat="1" x14ac:dyDescent="0.3">
      <c r="A525" s="267">
        <v>118786</v>
      </c>
      <c r="B525" s="257" t="s">
        <v>4484</v>
      </c>
      <c r="C525" s="258" t="str">
        <f>"1859401282138"</f>
        <v>1859401282138</v>
      </c>
      <c r="D525" s="259" t="s">
        <v>37</v>
      </c>
      <c r="E525" s="254" t="s">
        <v>3367</v>
      </c>
      <c r="F525" s="255">
        <v>44992</v>
      </c>
    </row>
    <row r="526" spans="1:6" s="246" customFormat="1" x14ac:dyDescent="0.3">
      <c r="A526" s="267">
        <v>56697</v>
      </c>
      <c r="B526" s="257" t="s">
        <v>4481</v>
      </c>
      <c r="C526" s="258">
        <v>736886811224</v>
      </c>
      <c r="D526" s="259" t="s">
        <v>202</v>
      </c>
      <c r="E526" s="254" t="s">
        <v>3367</v>
      </c>
      <c r="F526" s="255">
        <v>44979</v>
      </c>
    </row>
    <row r="527" spans="1:6" s="245" customFormat="1" x14ac:dyDescent="0.3">
      <c r="A527" s="268">
        <v>20091</v>
      </c>
      <c r="B527" s="251" t="s">
        <v>4480</v>
      </c>
      <c r="C527" s="252" t="str">
        <f>"056910114719"</f>
        <v>056910114719</v>
      </c>
      <c r="D527" s="253" t="s">
        <v>25</v>
      </c>
      <c r="E527" s="254" t="s">
        <v>3367</v>
      </c>
      <c r="F527" s="255">
        <v>44992</v>
      </c>
    </row>
    <row r="528" spans="1:6" s="246" customFormat="1" ht="41.95" x14ac:dyDescent="0.3">
      <c r="A528" s="267">
        <v>16465</v>
      </c>
      <c r="B528" s="269" t="s">
        <v>4479</v>
      </c>
      <c r="C528" s="270" t="str">
        <f>"040232691249"</f>
        <v>040232691249</v>
      </c>
      <c r="D528" s="259" t="s">
        <v>555</v>
      </c>
      <c r="E528" s="254" t="s">
        <v>4560</v>
      </c>
      <c r="F528" s="255">
        <v>44992</v>
      </c>
    </row>
    <row r="529" spans="1:6" s="245" customFormat="1" x14ac:dyDescent="0.3">
      <c r="A529" s="268">
        <v>12172</v>
      </c>
      <c r="B529" s="251" t="s">
        <v>4478</v>
      </c>
      <c r="C529" s="252" t="str">
        <f>"870766000671"</f>
        <v>870766000671</v>
      </c>
      <c r="D529" s="253" t="s">
        <v>25</v>
      </c>
      <c r="E529" s="254" t="s">
        <v>3367</v>
      </c>
      <c r="F529" s="255">
        <v>44992</v>
      </c>
    </row>
    <row r="530" spans="1:6" s="245" customFormat="1" x14ac:dyDescent="0.3">
      <c r="A530" s="268">
        <v>24623</v>
      </c>
      <c r="B530" s="251" t="s">
        <v>4477</v>
      </c>
      <c r="C530" s="252" t="str">
        <f>"658580346836"</f>
        <v>658580346836</v>
      </c>
      <c r="D530" s="253" t="s">
        <v>25</v>
      </c>
      <c r="E530" s="254" t="s">
        <v>3367</v>
      </c>
      <c r="F530" s="255">
        <v>44974</v>
      </c>
    </row>
    <row r="531" spans="1:6" s="245" customFormat="1" x14ac:dyDescent="0.3">
      <c r="A531" s="268">
        <v>16870</v>
      </c>
      <c r="B531" s="251" t="s">
        <v>3895</v>
      </c>
      <c r="C531" s="252" t="str">
        <f>"625640786734"</f>
        <v>625640786734</v>
      </c>
      <c r="D531" s="253" t="s">
        <v>25</v>
      </c>
      <c r="E531" s="254" t="s">
        <v>3367</v>
      </c>
      <c r="F531" s="255">
        <v>44973</v>
      </c>
    </row>
    <row r="532" spans="1:6" s="245" customFormat="1" x14ac:dyDescent="0.3">
      <c r="A532" s="268">
        <v>25028</v>
      </c>
      <c r="B532" s="251" t="s">
        <v>4472</v>
      </c>
      <c r="C532" s="252" t="str">
        <f>"051497315733"</f>
        <v>051497315733</v>
      </c>
      <c r="D532" s="253" t="s">
        <v>25</v>
      </c>
      <c r="E532" s="254" t="s">
        <v>3367</v>
      </c>
      <c r="F532" s="255">
        <v>44973</v>
      </c>
    </row>
    <row r="533" spans="1:6" s="245" customFormat="1" x14ac:dyDescent="0.3">
      <c r="A533" s="268">
        <v>28496</v>
      </c>
      <c r="B533" s="251" t="s">
        <v>4473</v>
      </c>
      <c r="C533" s="252" t="str">
        <f>"051497351694"</f>
        <v>051497351694</v>
      </c>
      <c r="D533" s="253" t="s">
        <v>25</v>
      </c>
      <c r="E533" s="254" t="s">
        <v>3367</v>
      </c>
      <c r="F533" s="255">
        <v>44973</v>
      </c>
    </row>
    <row r="534" spans="1:6" s="245" customFormat="1" x14ac:dyDescent="0.3">
      <c r="A534" s="268">
        <v>533679</v>
      </c>
      <c r="B534" s="251" t="s">
        <v>4474</v>
      </c>
      <c r="C534" s="252" t="str">
        <f>"628451269120"</f>
        <v>628451269120</v>
      </c>
      <c r="D534" s="253" t="s">
        <v>25</v>
      </c>
      <c r="E534" s="254" t="s">
        <v>3367</v>
      </c>
      <c r="F534" s="255">
        <v>44973</v>
      </c>
    </row>
    <row r="535" spans="1:6" s="245" customFormat="1" x14ac:dyDescent="0.3">
      <c r="A535" s="268">
        <v>22621</v>
      </c>
      <c r="B535" s="251" t="s">
        <v>3896</v>
      </c>
      <c r="C535" s="252" t="str">
        <f>"870766000992"</f>
        <v>870766000992</v>
      </c>
      <c r="D535" s="253" t="s">
        <v>25</v>
      </c>
      <c r="E535" s="254" t="s">
        <v>3367</v>
      </c>
      <c r="F535" s="255">
        <v>44992</v>
      </c>
    </row>
    <row r="536" spans="1:6" s="245" customFormat="1" x14ac:dyDescent="0.3">
      <c r="A536" s="268">
        <v>479485</v>
      </c>
      <c r="B536" s="251" t="s">
        <v>4475</v>
      </c>
      <c r="C536" s="252" t="str">
        <f>"742832060813"</f>
        <v>742832060813</v>
      </c>
      <c r="D536" s="253" t="s">
        <v>25</v>
      </c>
      <c r="E536" s="254" t="s">
        <v>3367</v>
      </c>
      <c r="F536" s="255">
        <v>44992</v>
      </c>
    </row>
    <row r="537" spans="1:6" s="245" customFormat="1" x14ac:dyDescent="0.3">
      <c r="A537" s="268">
        <v>22857</v>
      </c>
      <c r="B537" s="251" t="s">
        <v>4470</v>
      </c>
      <c r="C537" s="252" t="str">
        <f>"810010580009"</f>
        <v>810010580009</v>
      </c>
      <c r="D537" s="253" t="s">
        <v>48</v>
      </c>
      <c r="E537" s="254" t="s">
        <v>4471</v>
      </c>
      <c r="F537" s="255">
        <v>44992</v>
      </c>
    </row>
    <row r="538" spans="1:6" s="245" customFormat="1" x14ac:dyDescent="0.3">
      <c r="A538" s="268">
        <v>26883</v>
      </c>
      <c r="B538" s="251" t="s">
        <v>4237</v>
      </c>
      <c r="C538" s="252" t="str">
        <f>"628110104021"</f>
        <v>628110104021</v>
      </c>
      <c r="D538" s="253" t="s">
        <v>25</v>
      </c>
      <c r="E538" s="254" t="s">
        <v>4550</v>
      </c>
      <c r="F538" s="255">
        <v>44978</v>
      </c>
    </row>
    <row r="539" spans="1:6" s="245" customFormat="1" x14ac:dyDescent="0.3">
      <c r="A539" s="268">
        <v>26800</v>
      </c>
      <c r="B539" s="251" t="s">
        <v>4469</v>
      </c>
      <c r="C539" s="252" t="str">
        <f>"628678552036"</f>
        <v>628678552036</v>
      </c>
      <c r="D539" s="253" t="s">
        <v>25</v>
      </c>
      <c r="E539" s="254" t="s">
        <v>3367</v>
      </c>
      <c r="F539" s="255">
        <v>44985</v>
      </c>
    </row>
    <row r="540" spans="1:6" s="245" customFormat="1" x14ac:dyDescent="0.3">
      <c r="A540" s="268">
        <v>28546</v>
      </c>
      <c r="B540" s="251" t="s">
        <v>4468</v>
      </c>
      <c r="C540" s="252" t="str">
        <f>"793888279971"</f>
        <v>793888279971</v>
      </c>
      <c r="D540" s="253" t="s">
        <v>48</v>
      </c>
      <c r="E540" s="254" t="s">
        <v>3367</v>
      </c>
      <c r="F540" s="255">
        <v>44985</v>
      </c>
    </row>
    <row r="541" spans="1:6" s="245" customFormat="1" x14ac:dyDescent="0.3">
      <c r="A541" s="268">
        <v>468868</v>
      </c>
      <c r="B541" s="251" t="s">
        <v>4467</v>
      </c>
      <c r="C541" s="252" t="s">
        <v>1203</v>
      </c>
      <c r="D541" s="253" t="s">
        <v>202</v>
      </c>
      <c r="E541" s="254" t="s">
        <v>3367</v>
      </c>
      <c r="F541" s="255">
        <v>44971</v>
      </c>
    </row>
    <row r="542" spans="1:6" s="245" customFormat="1" x14ac:dyDescent="0.3">
      <c r="A542" s="268">
        <v>372219</v>
      </c>
      <c r="B542" s="251" t="s">
        <v>4466</v>
      </c>
      <c r="C542" s="252">
        <v>663935100216</v>
      </c>
      <c r="D542" s="253" t="s">
        <v>202</v>
      </c>
      <c r="E542" s="254" t="s">
        <v>3367</v>
      </c>
      <c r="F542" s="255">
        <v>44985</v>
      </c>
    </row>
    <row r="543" spans="1:6" s="245" customFormat="1" x14ac:dyDescent="0.3">
      <c r="A543" s="268">
        <v>20036</v>
      </c>
      <c r="B543" s="251" t="s">
        <v>3446</v>
      </c>
      <c r="C543" s="252" t="str">
        <f>"627167100925"</f>
        <v>627167100925</v>
      </c>
      <c r="D543" s="253" t="s">
        <v>25</v>
      </c>
      <c r="E543" s="254" t="s">
        <v>3367</v>
      </c>
      <c r="F543" s="255">
        <v>44968</v>
      </c>
    </row>
    <row r="544" spans="1:6" s="245" customFormat="1" x14ac:dyDescent="0.3">
      <c r="A544" s="268">
        <v>20037</v>
      </c>
      <c r="B544" s="251" t="s">
        <v>4462</v>
      </c>
      <c r="C544" s="252" t="str">
        <f>"627167100963"</f>
        <v>627167100963</v>
      </c>
      <c r="D544" s="253" t="s">
        <v>25</v>
      </c>
      <c r="E544" s="254" t="s">
        <v>3367</v>
      </c>
      <c r="F544" s="255">
        <v>44968</v>
      </c>
    </row>
    <row r="545" spans="1:6" s="245" customFormat="1" x14ac:dyDescent="0.3">
      <c r="A545" s="268">
        <v>21681</v>
      </c>
      <c r="B545" s="251" t="s">
        <v>4463</v>
      </c>
      <c r="C545" s="252" t="str">
        <f>"628055427131"</f>
        <v>628055427131</v>
      </c>
      <c r="D545" s="253" t="s">
        <v>124</v>
      </c>
      <c r="E545" s="254" t="s">
        <v>3367</v>
      </c>
      <c r="F545" s="255">
        <v>44968</v>
      </c>
    </row>
    <row r="546" spans="1:6" s="245" customFormat="1" x14ac:dyDescent="0.3">
      <c r="A546" s="268">
        <v>11164</v>
      </c>
      <c r="B546" s="251" t="s">
        <v>4461</v>
      </c>
      <c r="C546" s="252" t="str">
        <f>"812339000688"</f>
        <v>812339000688</v>
      </c>
      <c r="D546" s="253" t="s">
        <v>25</v>
      </c>
      <c r="E546" s="254" t="s">
        <v>3367</v>
      </c>
      <c r="F546" s="255">
        <v>44968</v>
      </c>
    </row>
    <row r="547" spans="1:6" s="245" customFormat="1" x14ac:dyDescent="0.3">
      <c r="A547" s="268">
        <v>22224</v>
      </c>
      <c r="B547" s="251" t="s">
        <v>4464</v>
      </c>
      <c r="C547" s="252" t="str">
        <f>"812339000978"</f>
        <v>812339000978</v>
      </c>
      <c r="D547" s="253" t="s">
        <v>25</v>
      </c>
      <c r="E547" s="254" t="s">
        <v>3367</v>
      </c>
      <c r="F547" s="255">
        <v>44985</v>
      </c>
    </row>
    <row r="548" spans="1:6" s="245" customFormat="1" x14ac:dyDescent="0.3">
      <c r="A548" s="268">
        <v>24580</v>
      </c>
      <c r="B548" s="251" t="s">
        <v>4465</v>
      </c>
      <c r="C548" s="252" t="str">
        <f>"812339000985"</f>
        <v>812339000985</v>
      </c>
      <c r="D548" s="253" t="s">
        <v>25</v>
      </c>
      <c r="E548" s="254" t="s">
        <v>3367</v>
      </c>
      <c r="F548" s="255">
        <v>44985</v>
      </c>
    </row>
    <row r="549" spans="1:6" s="245" customFormat="1" x14ac:dyDescent="0.3">
      <c r="A549" s="268">
        <v>25086</v>
      </c>
      <c r="B549" s="251" t="s">
        <v>4460</v>
      </c>
      <c r="C549" s="252" t="str">
        <f>"675325649229"</f>
        <v>675325649229</v>
      </c>
      <c r="D549" s="253" t="s">
        <v>98</v>
      </c>
      <c r="E549" s="254" t="s">
        <v>3367</v>
      </c>
      <c r="F549" s="255">
        <v>44985</v>
      </c>
    </row>
    <row r="550" spans="1:6" s="245" customFormat="1" ht="27.95" x14ac:dyDescent="0.3">
      <c r="A550" s="271">
        <v>333591</v>
      </c>
      <c r="B550" s="263" t="s">
        <v>4459</v>
      </c>
      <c r="C550" s="264" t="str">
        <f>"5010327658544"</f>
        <v>5010327658544</v>
      </c>
      <c r="D550" s="253" t="s">
        <v>29</v>
      </c>
      <c r="E550" s="254" t="s">
        <v>4561</v>
      </c>
      <c r="F550" s="255">
        <v>44985</v>
      </c>
    </row>
    <row r="551" spans="1:6" s="245" customFormat="1" x14ac:dyDescent="0.3">
      <c r="A551" s="268">
        <v>28481</v>
      </c>
      <c r="B551" s="251" t="s">
        <v>4458</v>
      </c>
      <c r="C551" s="252" t="str">
        <f>"812339001036"</f>
        <v>812339001036</v>
      </c>
      <c r="D551" s="253" t="s">
        <v>25</v>
      </c>
      <c r="E551" s="254" t="s">
        <v>3367</v>
      </c>
      <c r="F551" s="255">
        <v>44979</v>
      </c>
    </row>
    <row r="552" spans="1:6" s="245" customFormat="1" x14ac:dyDescent="0.3">
      <c r="A552" s="268">
        <v>19725</v>
      </c>
      <c r="B552" s="251" t="s">
        <v>4457</v>
      </c>
      <c r="C552" s="252" t="s">
        <v>3570</v>
      </c>
      <c r="D552" s="253" t="s">
        <v>202</v>
      </c>
      <c r="E552" s="254" t="s">
        <v>3367</v>
      </c>
      <c r="F552" s="255">
        <v>44979</v>
      </c>
    </row>
    <row r="553" spans="1:6" s="245" customFormat="1" x14ac:dyDescent="0.3">
      <c r="A553" s="268">
        <f>131649</f>
        <v>131649</v>
      </c>
      <c r="B553" s="251" t="s">
        <v>4456</v>
      </c>
      <c r="C553" s="252" t="str">
        <f>"627987160093"</f>
        <v>627987160093</v>
      </c>
      <c r="D553" s="253" t="s">
        <v>25</v>
      </c>
      <c r="E553" s="254" t="s">
        <v>3367</v>
      </c>
      <c r="F553" s="255">
        <v>44960</v>
      </c>
    </row>
    <row r="554" spans="1:6" s="245" customFormat="1" x14ac:dyDescent="0.3">
      <c r="A554" s="268">
        <v>20899</v>
      </c>
      <c r="B554" s="251" t="s">
        <v>4455</v>
      </c>
      <c r="C554" s="252">
        <v>180756000063</v>
      </c>
      <c r="D554" s="253" t="s">
        <v>202</v>
      </c>
      <c r="E554" s="254" t="s">
        <v>3367</v>
      </c>
      <c r="F554" s="255">
        <v>44957</v>
      </c>
    </row>
    <row r="555" spans="1:6" s="245" customFormat="1" x14ac:dyDescent="0.3">
      <c r="A555" s="268">
        <v>526251</v>
      </c>
      <c r="B555" s="251" t="s">
        <v>4454</v>
      </c>
      <c r="C555" s="252" t="s">
        <v>621</v>
      </c>
      <c r="D555" s="253" t="s">
        <v>202</v>
      </c>
      <c r="E555" s="254" t="s">
        <v>3367</v>
      </c>
      <c r="F555" s="255">
        <v>44971</v>
      </c>
    </row>
    <row r="556" spans="1:6" s="245" customFormat="1" x14ac:dyDescent="0.3">
      <c r="A556" s="268">
        <v>486449</v>
      </c>
      <c r="B556" s="251" t="s">
        <v>4453</v>
      </c>
      <c r="C556" s="252">
        <v>1220000070059</v>
      </c>
      <c r="D556" s="253" t="s">
        <v>202</v>
      </c>
      <c r="E556" s="254" t="s">
        <v>3367</v>
      </c>
      <c r="F556" s="255">
        <v>44957</v>
      </c>
    </row>
    <row r="557" spans="1:6" s="245" customFormat="1" x14ac:dyDescent="0.3">
      <c r="A557" s="268">
        <v>94060</v>
      </c>
      <c r="B557" s="251" t="s">
        <v>4452</v>
      </c>
      <c r="C557" s="252">
        <v>7804320510187</v>
      </c>
      <c r="D557" s="253" t="s">
        <v>202</v>
      </c>
      <c r="E557" s="254" t="s">
        <v>3367</v>
      </c>
      <c r="F557" s="255">
        <v>44971</v>
      </c>
    </row>
    <row r="558" spans="1:6" s="245" customFormat="1" x14ac:dyDescent="0.3">
      <c r="A558" s="268">
        <v>16253</v>
      </c>
      <c r="B558" s="251" t="s">
        <v>3688</v>
      </c>
      <c r="C558" s="252" t="s">
        <v>4451</v>
      </c>
      <c r="D558" s="253" t="s">
        <v>137</v>
      </c>
      <c r="E558" s="254" t="s">
        <v>3367</v>
      </c>
      <c r="F558" s="255">
        <v>44957</v>
      </c>
    </row>
    <row r="559" spans="1:6" s="245" customFormat="1" x14ac:dyDescent="0.3">
      <c r="A559" s="268">
        <v>10229</v>
      </c>
      <c r="B559" s="251" t="s">
        <v>4450</v>
      </c>
      <c r="C559" s="252" t="str">
        <f>"620707855101"</f>
        <v>620707855101</v>
      </c>
      <c r="D559" s="253" t="s">
        <v>37</v>
      </c>
      <c r="E559" s="254" t="s">
        <v>3367</v>
      </c>
      <c r="F559" s="255">
        <v>45121</v>
      </c>
    </row>
    <row r="560" spans="1:6" s="245" customFormat="1" x14ac:dyDescent="0.3">
      <c r="A560" s="268">
        <v>22751</v>
      </c>
      <c r="B560" s="251" t="s">
        <v>4449</v>
      </c>
      <c r="C560" s="252" t="str">
        <f>"5600262007103"</f>
        <v>5600262007103</v>
      </c>
      <c r="D560" s="253" t="s">
        <v>48</v>
      </c>
      <c r="E560" s="254" t="s">
        <v>3367</v>
      </c>
      <c r="F560" s="255">
        <v>44951</v>
      </c>
    </row>
    <row r="561" spans="1:6" s="245" customFormat="1" x14ac:dyDescent="0.3">
      <c r="A561" s="268">
        <v>28490</v>
      </c>
      <c r="B561" s="251" t="s">
        <v>4448</v>
      </c>
      <c r="C561" s="252" t="str">
        <f>"628055731566"</f>
        <v>628055731566</v>
      </c>
      <c r="D561" s="253" t="s">
        <v>25</v>
      </c>
      <c r="E561" s="254" t="s">
        <v>3367</v>
      </c>
      <c r="F561" s="255">
        <v>44964</v>
      </c>
    </row>
    <row r="562" spans="1:6" s="245" customFormat="1" x14ac:dyDescent="0.3">
      <c r="A562" s="268">
        <v>622837</v>
      </c>
      <c r="B562" s="251" t="s">
        <v>4447</v>
      </c>
      <c r="C562" s="252">
        <v>5010103913249</v>
      </c>
      <c r="D562" s="253" t="s">
        <v>202</v>
      </c>
      <c r="E562" s="254" t="s">
        <v>3367</v>
      </c>
      <c r="F562" s="255">
        <v>44950</v>
      </c>
    </row>
    <row r="563" spans="1:6" s="245" customFormat="1" x14ac:dyDescent="0.3">
      <c r="A563" s="268">
        <v>45641</v>
      </c>
      <c r="B563" s="251" t="s">
        <v>4446</v>
      </c>
      <c r="C563" s="252" t="s">
        <v>4171</v>
      </c>
      <c r="D563" s="253" t="s">
        <v>202</v>
      </c>
      <c r="E563" s="254" t="s">
        <v>3367</v>
      </c>
      <c r="F563" s="255">
        <v>44964</v>
      </c>
    </row>
    <row r="564" spans="1:6" s="245" customFormat="1" x14ac:dyDescent="0.3">
      <c r="A564" s="268">
        <v>348979</v>
      </c>
      <c r="B564" s="251" t="s">
        <v>4444</v>
      </c>
      <c r="C564" s="252">
        <v>620654070015</v>
      </c>
      <c r="D564" s="253" t="s">
        <v>202</v>
      </c>
      <c r="E564" s="254" t="s">
        <v>3367</v>
      </c>
      <c r="F564" s="255">
        <v>44964</v>
      </c>
    </row>
    <row r="565" spans="1:6" s="245" customFormat="1" x14ac:dyDescent="0.3">
      <c r="A565" s="268">
        <v>18392</v>
      </c>
      <c r="B565" s="251" t="s">
        <v>4443</v>
      </c>
      <c r="C565" s="252" t="s">
        <v>4445</v>
      </c>
      <c r="D565" s="253" t="s">
        <v>455</v>
      </c>
      <c r="E565" s="254" t="s">
        <v>3367</v>
      </c>
      <c r="F565" s="255">
        <v>44964</v>
      </c>
    </row>
    <row r="566" spans="1:6" s="245" customFormat="1" x14ac:dyDescent="0.3">
      <c r="A566" s="268">
        <v>20806</v>
      </c>
      <c r="B566" s="251" t="s">
        <v>4441</v>
      </c>
      <c r="C566" s="272" t="s">
        <v>4442</v>
      </c>
      <c r="D566" s="253" t="s">
        <v>202</v>
      </c>
      <c r="E566" s="254" t="s">
        <v>3367</v>
      </c>
      <c r="F566" s="255">
        <v>44950</v>
      </c>
    </row>
    <row r="567" spans="1:6" s="245" customFormat="1" x14ac:dyDescent="0.3">
      <c r="A567" s="268">
        <v>15888</v>
      </c>
      <c r="B567" s="251" t="s">
        <v>4439</v>
      </c>
      <c r="C567" s="252" t="s">
        <v>4440</v>
      </c>
      <c r="D567" s="253" t="s">
        <v>202</v>
      </c>
      <c r="E567" s="254" t="s">
        <v>3367</v>
      </c>
      <c r="F567" s="255">
        <v>44964</v>
      </c>
    </row>
    <row r="568" spans="1:6" s="245" customFormat="1" ht="27.4" x14ac:dyDescent="0.3">
      <c r="A568" s="268">
        <v>25653</v>
      </c>
      <c r="B568" s="251" t="s">
        <v>4438</v>
      </c>
      <c r="C568" s="252">
        <v>776545600967</v>
      </c>
      <c r="D568" s="253" t="s">
        <v>202</v>
      </c>
      <c r="E568" s="254" t="s">
        <v>4740</v>
      </c>
      <c r="F568" s="255">
        <v>44950</v>
      </c>
    </row>
    <row r="569" spans="1:6" s="245" customFormat="1" x14ac:dyDescent="0.3">
      <c r="A569" s="268">
        <v>34660</v>
      </c>
      <c r="B569" s="251" t="s">
        <v>4437</v>
      </c>
      <c r="C569" s="273" t="str">
        <f>"094922651440"</f>
        <v>094922651440</v>
      </c>
      <c r="D569" s="253" t="s">
        <v>25</v>
      </c>
      <c r="E569" s="260" t="s">
        <v>4551</v>
      </c>
      <c r="F569" s="255">
        <v>44964</v>
      </c>
    </row>
    <row r="570" spans="1:6" s="245" customFormat="1" x14ac:dyDescent="0.3">
      <c r="A570" s="268">
        <v>308163</v>
      </c>
      <c r="B570" s="251" t="s">
        <v>4434</v>
      </c>
      <c r="C570" s="252" t="s">
        <v>4436</v>
      </c>
      <c r="D570" s="253" t="s">
        <v>202</v>
      </c>
      <c r="E570" s="254" t="s">
        <v>3367</v>
      </c>
      <c r="F570" s="255">
        <v>44943</v>
      </c>
    </row>
    <row r="571" spans="1:6" s="245" customFormat="1" x14ac:dyDescent="0.3">
      <c r="A571" s="268">
        <v>172643</v>
      </c>
      <c r="B571" s="251" t="s">
        <v>4435</v>
      </c>
      <c r="C571" s="273">
        <v>670459010952</v>
      </c>
      <c r="D571" s="253" t="s">
        <v>202</v>
      </c>
      <c r="E571" s="254" t="s">
        <v>3367</v>
      </c>
      <c r="F571" s="255">
        <v>44943</v>
      </c>
    </row>
    <row r="572" spans="1:6" s="245" customFormat="1" x14ac:dyDescent="0.3">
      <c r="A572" s="274">
        <v>11564</v>
      </c>
      <c r="B572" s="275" t="s">
        <v>4432</v>
      </c>
      <c r="C572" s="273" t="s">
        <v>4433</v>
      </c>
      <c r="D572" s="253" t="s">
        <v>202</v>
      </c>
      <c r="E572" s="254" t="s">
        <v>3367</v>
      </c>
      <c r="F572" s="255">
        <v>44957</v>
      </c>
    </row>
    <row r="573" spans="1:6" s="245" customFormat="1" x14ac:dyDescent="0.3">
      <c r="A573" s="268">
        <v>564674</v>
      </c>
      <c r="B573" s="251" t="s">
        <v>3354</v>
      </c>
      <c r="C573" s="273" t="s">
        <v>4431</v>
      </c>
      <c r="D573" s="253" t="s">
        <v>202</v>
      </c>
      <c r="E573" s="260" t="s">
        <v>4552</v>
      </c>
      <c r="F573" s="255">
        <v>44985</v>
      </c>
    </row>
    <row r="574" spans="1:6" s="245" customFormat="1" x14ac:dyDescent="0.3">
      <c r="A574" s="268">
        <v>297655</v>
      </c>
      <c r="B574" s="251" t="s">
        <v>2453</v>
      </c>
      <c r="C574" s="273" t="s">
        <v>4430</v>
      </c>
      <c r="D574" s="253" t="s">
        <v>137</v>
      </c>
      <c r="E574" s="260" t="s">
        <v>4553</v>
      </c>
      <c r="F574" s="255">
        <v>44978</v>
      </c>
    </row>
    <row r="575" spans="1:6" s="245" customFormat="1" x14ac:dyDescent="0.3">
      <c r="A575" s="268">
        <v>285585</v>
      </c>
      <c r="B575" s="251" t="s">
        <v>4428</v>
      </c>
      <c r="C575" s="273" t="s">
        <v>4429</v>
      </c>
      <c r="D575" s="253" t="s">
        <v>202</v>
      </c>
      <c r="E575" s="260" t="s">
        <v>4554</v>
      </c>
      <c r="F575" s="255">
        <v>44978</v>
      </c>
    </row>
    <row r="576" spans="1:6" s="245" customFormat="1" x14ac:dyDescent="0.3">
      <c r="A576" s="268">
        <v>616276</v>
      </c>
      <c r="B576" s="251" t="s">
        <v>2453</v>
      </c>
      <c r="C576" s="273" t="s">
        <v>4427</v>
      </c>
      <c r="D576" s="253" t="s">
        <v>496</v>
      </c>
      <c r="E576" s="260" t="s">
        <v>4555</v>
      </c>
      <c r="F576" s="255">
        <v>44963</v>
      </c>
    </row>
    <row r="577" spans="1:8" s="245" customFormat="1" x14ac:dyDescent="0.3">
      <c r="A577" s="268">
        <v>155051</v>
      </c>
      <c r="B577" s="251" t="s">
        <v>2453</v>
      </c>
      <c r="C577" s="252" t="s">
        <v>4426</v>
      </c>
      <c r="D577" s="253" t="s">
        <v>202</v>
      </c>
      <c r="E577" s="260" t="s">
        <v>4556</v>
      </c>
      <c r="F577" s="255">
        <v>44963</v>
      </c>
    </row>
    <row r="578" spans="1:8" s="245" customFormat="1" x14ac:dyDescent="0.3">
      <c r="A578" s="268">
        <v>572446</v>
      </c>
      <c r="B578" s="251" t="s">
        <v>4425</v>
      </c>
      <c r="C578" s="252" t="str">
        <f>"055480300539"</f>
        <v>055480300539</v>
      </c>
      <c r="D578" s="253" t="s">
        <v>25</v>
      </c>
      <c r="E578" s="254" t="s">
        <v>3367</v>
      </c>
      <c r="F578" s="255">
        <v>44957</v>
      </c>
    </row>
    <row r="579" spans="1:8" s="245" customFormat="1" ht="41.95" x14ac:dyDescent="0.3">
      <c r="A579" s="268">
        <v>901157</v>
      </c>
      <c r="B579" s="251" t="s">
        <v>4424</v>
      </c>
      <c r="C579" s="264">
        <v>62067681035</v>
      </c>
      <c r="D579" s="253" t="s">
        <v>106</v>
      </c>
      <c r="E579" s="254" t="s">
        <v>4562</v>
      </c>
      <c r="F579" s="255">
        <v>44957</v>
      </c>
    </row>
    <row r="580" spans="1:8" s="245" customFormat="1" x14ac:dyDescent="0.3">
      <c r="A580" s="268">
        <v>434399</v>
      </c>
      <c r="B580" s="251" t="s">
        <v>3867</v>
      </c>
      <c r="C580" s="252" t="str">
        <f>"627843374756"</f>
        <v>627843374756</v>
      </c>
      <c r="D580" s="253" t="s">
        <v>25</v>
      </c>
      <c r="E580" s="254" t="s">
        <v>3367</v>
      </c>
      <c r="F580" s="255">
        <v>44950</v>
      </c>
    </row>
    <row r="581" spans="1:8" s="245" customFormat="1" x14ac:dyDescent="0.3">
      <c r="A581" s="268">
        <v>11173</v>
      </c>
      <c r="B581" s="251" t="s">
        <v>4423</v>
      </c>
      <c r="C581" s="252" t="str">
        <f>"627843303176"</f>
        <v>627843303176</v>
      </c>
      <c r="D581" s="253" t="s">
        <v>25</v>
      </c>
      <c r="E581" s="254" t="s">
        <v>3367</v>
      </c>
      <c r="F581" s="255">
        <v>44950</v>
      </c>
    </row>
    <row r="582" spans="1:8" s="245" customFormat="1" x14ac:dyDescent="0.3">
      <c r="A582" s="268">
        <v>161141</v>
      </c>
      <c r="B582" s="251" t="s">
        <v>4421</v>
      </c>
      <c r="C582" s="252" t="s">
        <v>4422</v>
      </c>
      <c r="D582" s="253" t="s">
        <v>202</v>
      </c>
      <c r="E582" s="254" t="s">
        <v>3367</v>
      </c>
      <c r="F582" s="255">
        <v>44936</v>
      </c>
    </row>
    <row r="583" spans="1:8" s="245" customFormat="1" x14ac:dyDescent="0.3">
      <c r="A583" s="268">
        <v>25135</v>
      </c>
      <c r="B583" s="251" t="s">
        <v>4346</v>
      </c>
      <c r="C583" s="264" t="str">
        <f>"3080216053677"</f>
        <v>3080216053677</v>
      </c>
      <c r="D583" s="253" t="s">
        <v>29</v>
      </c>
      <c r="E583" s="254" t="s">
        <v>4563</v>
      </c>
      <c r="F583" s="255">
        <v>44950</v>
      </c>
    </row>
    <row r="584" spans="1:8" x14ac:dyDescent="0.3">
      <c r="A584" s="268">
        <v>418657</v>
      </c>
      <c r="B584" s="251" t="s">
        <v>4414</v>
      </c>
      <c r="C584" s="264">
        <v>779373509181</v>
      </c>
      <c r="D584" s="253" t="s">
        <v>202</v>
      </c>
      <c r="E584" s="254" t="s">
        <v>3367</v>
      </c>
      <c r="F584" s="255">
        <v>44943</v>
      </c>
    </row>
    <row r="585" spans="1:8" x14ac:dyDescent="0.3">
      <c r="A585" s="268">
        <v>188177</v>
      </c>
      <c r="B585" s="251" t="s">
        <v>4415</v>
      </c>
      <c r="C585" s="264">
        <v>620654060016</v>
      </c>
      <c r="D585" s="253" t="s">
        <v>202</v>
      </c>
      <c r="E585" s="254" t="s">
        <v>3367</v>
      </c>
      <c r="F585" s="255">
        <v>44943</v>
      </c>
    </row>
    <row r="586" spans="1:8" x14ac:dyDescent="0.3">
      <c r="A586" s="268">
        <v>17370</v>
      </c>
      <c r="B586" s="251" t="s">
        <v>4416</v>
      </c>
      <c r="C586" s="264">
        <v>663935100421</v>
      </c>
      <c r="D586" s="253" t="s">
        <v>202</v>
      </c>
      <c r="E586" s="254" t="s">
        <v>3367</v>
      </c>
      <c r="F586" s="255">
        <v>44943</v>
      </c>
    </row>
    <row r="587" spans="1:8" x14ac:dyDescent="0.3">
      <c r="A587" s="268">
        <v>17369</v>
      </c>
      <c r="B587" s="251" t="s">
        <v>4417</v>
      </c>
      <c r="C587" s="264">
        <v>663935100438</v>
      </c>
      <c r="D587" s="253" t="s">
        <v>202</v>
      </c>
      <c r="E587" s="254" t="s">
        <v>3367</v>
      </c>
      <c r="F587" s="255">
        <v>44943</v>
      </c>
    </row>
    <row r="588" spans="1:8" x14ac:dyDescent="0.3">
      <c r="A588" s="268">
        <v>14887</v>
      </c>
      <c r="B588" s="251" t="s">
        <v>4418</v>
      </c>
      <c r="C588" s="264">
        <v>777081728085</v>
      </c>
      <c r="D588" s="253" t="s">
        <v>202</v>
      </c>
      <c r="E588" s="254" t="s">
        <v>3367</v>
      </c>
      <c r="F588" s="255">
        <v>44943</v>
      </c>
    </row>
    <row r="589" spans="1:8" s="245" customFormat="1" x14ac:dyDescent="0.3">
      <c r="A589" s="268">
        <v>19636</v>
      </c>
      <c r="B589" s="251" t="s">
        <v>4419</v>
      </c>
      <c r="C589" s="264" t="str">
        <f>"874702000343"</f>
        <v>874702000343</v>
      </c>
      <c r="D589" s="253" t="s">
        <v>25</v>
      </c>
      <c r="E589" s="254" t="s">
        <v>3367</v>
      </c>
      <c r="F589" s="255">
        <v>44943</v>
      </c>
    </row>
    <row r="590" spans="1:8" s="245" customFormat="1" ht="27.95" x14ac:dyDescent="0.3">
      <c r="A590" s="268">
        <v>16447</v>
      </c>
      <c r="B590" s="251" t="s">
        <v>4420</v>
      </c>
      <c r="C590" s="264" t="str">
        <f>"874702000152"</f>
        <v>874702000152</v>
      </c>
      <c r="D590" s="253" t="s">
        <v>25</v>
      </c>
      <c r="E590" s="254" t="s">
        <v>4564</v>
      </c>
      <c r="F590" s="255">
        <v>44943</v>
      </c>
      <c r="G590" s="64"/>
      <c r="H590" s="64"/>
    </row>
    <row r="591" spans="1:8" ht="13.7" customHeight="1" x14ac:dyDescent="0.3">
      <c r="A591" s="268">
        <v>20186</v>
      </c>
      <c r="B591" s="251" t="s">
        <v>4413</v>
      </c>
      <c r="C591" s="264" t="str">
        <f>"4053400207643"</f>
        <v>4053400207643</v>
      </c>
      <c r="D591" s="253" t="s">
        <v>60</v>
      </c>
      <c r="E591" s="254" t="s">
        <v>3367</v>
      </c>
      <c r="F591" s="255">
        <v>44943</v>
      </c>
    </row>
    <row r="592" spans="1:8" x14ac:dyDescent="0.3">
      <c r="A592" s="268">
        <v>22886</v>
      </c>
      <c r="B592" s="251" t="s">
        <v>4408</v>
      </c>
      <c r="C592" s="264" t="str">
        <f>"793888595712"</f>
        <v>793888595712</v>
      </c>
      <c r="D592" s="253" t="s">
        <v>25</v>
      </c>
      <c r="E592" s="254" t="s">
        <v>3367</v>
      </c>
      <c r="F592" s="255">
        <v>44929</v>
      </c>
    </row>
    <row r="593" spans="1:6" x14ac:dyDescent="0.3">
      <c r="A593" s="268">
        <v>230474</v>
      </c>
      <c r="B593" s="251" t="s">
        <v>4399</v>
      </c>
      <c r="C593" s="264">
        <v>852832105527</v>
      </c>
      <c r="D593" s="253" t="s">
        <v>202</v>
      </c>
      <c r="E593" s="254" t="s">
        <v>3367</v>
      </c>
      <c r="F593" s="255">
        <v>44929</v>
      </c>
    </row>
    <row r="594" spans="1:6" x14ac:dyDescent="0.3">
      <c r="A594" s="268">
        <v>234385</v>
      </c>
      <c r="B594" s="251" t="s">
        <v>4400</v>
      </c>
      <c r="C594" s="264">
        <v>7790240090154</v>
      </c>
      <c r="D594" s="253" t="s">
        <v>202</v>
      </c>
      <c r="E594" s="254" t="s">
        <v>3367</v>
      </c>
      <c r="F594" s="255">
        <v>44929</v>
      </c>
    </row>
    <row r="595" spans="1:6" x14ac:dyDescent="0.3">
      <c r="A595" s="268">
        <v>11936</v>
      </c>
      <c r="B595" s="251" t="s">
        <v>4401</v>
      </c>
      <c r="C595" s="264">
        <v>9322214014828</v>
      </c>
      <c r="D595" s="253" t="s">
        <v>202</v>
      </c>
      <c r="E595" s="254" t="s">
        <v>3367</v>
      </c>
      <c r="F595" s="255">
        <v>44929</v>
      </c>
    </row>
    <row r="596" spans="1:6" x14ac:dyDescent="0.3">
      <c r="A596" s="268">
        <v>17759</v>
      </c>
      <c r="B596" s="251" t="s">
        <v>4402</v>
      </c>
      <c r="C596" s="264">
        <v>9311789828602</v>
      </c>
      <c r="D596" s="253" t="s">
        <v>202</v>
      </c>
      <c r="E596" s="254" t="s">
        <v>3367</v>
      </c>
      <c r="F596" s="255">
        <v>44929</v>
      </c>
    </row>
    <row r="597" spans="1:6" x14ac:dyDescent="0.3">
      <c r="A597" s="268">
        <v>553859</v>
      </c>
      <c r="B597" s="251" t="s">
        <v>4403</v>
      </c>
      <c r="C597" s="264">
        <v>9300694000821</v>
      </c>
      <c r="D597" s="253" t="s">
        <v>202</v>
      </c>
      <c r="E597" s="254" t="s">
        <v>3367</v>
      </c>
      <c r="F597" s="255">
        <v>44929</v>
      </c>
    </row>
    <row r="598" spans="1:6" x14ac:dyDescent="0.3">
      <c r="A598" s="268">
        <v>572362</v>
      </c>
      <c r="B598" s="251" t="s">
        <v>4404</v>
      </c>
      <c r="C598" s="264">
        <v>8410113002303</v>
      </c>
      <c r="D598" s="253" t="s">
        <v>202</v>
      </c>
      <c r="E598" s="254" t="s">
        <v>3367</v>
      </c>
      <c r="F598" s="255">
        <v>44929</v>
      </c>
    </row>
    <row r="599" spans="1:6" x14ac:dyDescent="0.3">
      <c r="A599" s="268">
        <v>527457</v>
      </c>
      <c r="B599" s="251" t="s">
        <v>4405</v>
      </c>
      <c r="C599" s="264">
        <v>6001452371506</v>
      </c>
      <c r="D599" s="253" t="s">
        <v>202</v>
      </c>
      <c r="E599" s="254" t="s">
        <v>3367</v>
      </c>
      <c r="F599" s="255">
        <v>44929</v>
      </c>
    </row>
    <row r="600" spans="1:6" x14ac:dyDescent="0.3">
      <c r="A600" s="268">
        <v>358960</v>
      </c>
      <c r="B600" s="251" t="s">
        <v>4406</v>
      </c>
      <c r="C600" s="264">
        <v>6001496301200</v>
      </c>
      <c r="D600" s="253" t="s">
        <v>202</v>
      </c>
      <c r="E600" s="254" t="s">
        <v>3367</v>
      </c>
      <c r="F600" s="255">
        <v>44929</v>
      </c>
    </row>
    <row r="601" spans="1:6" x14ac:dyDescent="0.3">
      <c r="A601" s="268">
        <v>15867</v>
      </c>
      <c r="B601" s="251" t="s">
        <v>4407</v>
      </c>
      <c r="C601" s="264">
        <v>98137113236</v>
      </c>
      <c r="D601" s="253" t="s">
        <v>202</v>
      </c>
      <c r="E601" s="254" t="s">
        <v>3367</v>
      </c>
      <c r="F601" s="255">
        <v>44929</v>
      </c>
    </row>
    <row r="602" spans="1:6" x14ac:dyDescent="0.3">
      <c r="A602" s="268">
        <v>27830</v>
      </c>
      <c r="B602" s="251" t="s">
        <v>4132</v>
      </c>
      <c r="C602" s="264" t="str">
        <f>"812339001029"</f>
        <v>812339001029</v>
      </c>
      <c r="D602" s="253" t="s">
        <v>2702</v>
      </c>
      <c r="E602" s="254" t="s">
        <v>3367</v>
      </c>
      <c r="F602" s="255">
        <v>44929</v>
      </c>
    </row>
  </sheetData>
  <autoFilter ref="A3:F602" xr:uid="{746E3CE6-B6AC-46AD-8A32-FAC9E204392F}"/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582 C574:C577 C572:C573 C570 C565:C567 C563 C558 C555 C552 C541 C500 C497 C396 C312:C313 C301:C309 C266 C163 C159 C139 C115:C1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CCCA-88C0-45A5-98AF-F94C5B42ABB8}">
  <dimension ref="A1:I582"/>
  <sheetViews>
    <sheetView topLeftCell="A393" zoomScale="90" zoomScaleNormal="90" workbookViewId="0">
      <selection activeCell="E439" sqref="E439"/>
    </sheetView>
  </sheetViews>
  <sheetFormatPr defaultColWidth="9.09765625" defaultRowHeight="14" x14ac:dyDescent="0.3"/>
  <cols>
    <col min="1" max="1" width="10.3984375" style="4" customWidth="1"/>
    <col min="2" max="2" width="54.3984375" style="64" bestFit="1" customWidth="1"/>
    <col min="3" max="3" width="18.09765625" style="23" customWidth="1"/>
    <col min="4" max="4" width="8.8984375" style="4" customWidth="1"/>
    <col min="5" max="5" width="87.8984375" style="64" customWidth="1"/>
    <col min="6" max="6" width="18.09765625" style="1" bestFit="1" customWidth="1"/>
    <col min="7" max="7" width="24.09765625" style="64" customWidth="1"/>
    <col min="8" max="8" width="18.3984375" style="64" bestFit="1" customWidth="1"/>
    <col min="9" max="16384" width="9.09765625" style="64"/>
  </cols>
  <sheetData>
    <row r="1" spans="1:9" ht="20.149999999999999" customHeight="1" x14ac:dyDescent="0.3">
      <c r="A1" s="28" t="s">
        <v>0</v>
      </c>
      <c r="D1" s="116"/>
      <c r="E1" s="234"/>
    </row>
    <row r="2" spans="1:9" s="79" customFormat="1" ht="16.55" customHeight="1" x14ac:dyDescent="0.3">
      <c r="A2" s="64"/>
      <c r="B2" s="64"/>
      <c r="C2" s="64"/>
      <c r="D2" s="64"/>
      <c r="E2" s="244"/>
      <c r="F2" s="64"/>
      <c r="G2" s="64"/>
      <c r="H2" s="64"/>
      <c r="I2" s="139"/>
    </row>
    <row r="3" spans="1:9" ht="28.5" customHeight="1" x14ac:dyDescent="0.3">
      <c r="A3" s="27" t="s">
        <v>1</v>
      </c>
      <c r="B3" s="92" t="s">
        <v>2</v>
      </c>
      <c r="C3" s="92" t="s">
        <v>23</v>
      </c>
      <c r="D3" s="92" t="s">
        <v>3</v>
      </c>
      <c r="E3" s="113" t="s">
        <v>17</v>
      </c>
      <c r="F3" s="93" t="s">
        <v>4</v>
      </c>
    </row>
    <row r="4" spans="1:9" x14ac:dyDescent="0.3">
      <c r="A4" s="229">
        <v>18288</v>
      </c>
      <c r="B4" s="86" t="s">
        <v>4411</v>
      </c>
      <c r="C4" s="228">
        <v>874537002246</v>
      </c>
      <c r="D4" s="19" t="s">
        <v>202</v>
      </c>
      <c r="E4" s="184" t="s">
        <v>4410</v>
      </c>
      <c r="F4" s="200">
        <v>44923</v>
      </c>
    </row>
    <row r="5" spans="1:9" x14ac:dyDescent="0.3">
      <c r="A5" s="229">
        <v>18289</v>
      </c>
      <c r="B5" s="86" t="s">
        <v>4412</v>
      </c>
      <c r="C5" s="228">
        <v>874537002253</v>
      </c>
      <c r="D5" s="19" t="s">
        <v>202</v>
      </c>
      <c r="E5" s="184" t="s">
        <v>4410</v>
      </c>
      <c r="F5" s="200">
        <v>44923</v>
      </c>
    </row>
    <row r="6" spans="1:9" x14ac:dyDescent="0.3">
      <c r="A6" s="229">
        <v>539817</v>
      </c>
      <c r="B6" s="86" t="s">
        <v>3685</v>
      </c>
      <c r="C6" s="228" t="str">
        <f>"628055125037"</f>
        <v>628055125037</v>
      </c>
      <c r="D6" s="19" t="s">
        <v>25</v>
      </c>
      <c r="E6" s="184" t="s">
        <v>4409</v>
      </c>
      <c r="F6" s="200">
        <v>44915</v>
      </c>
    </row>
    <row r="7" spans="1:9" x14ac:dyDescent="0.3">
      <c r="A7" s="229">
        <v>22886</v>
      </c>
      <c r="B7" s="86" t="s">
        <v>4408</v>
      </c>
      <c r="C7" s="228" t="str">
        <f>"793888595712"</f>
        <v>793888595712</v>
      </c>
      <c r="D7" s="19" t="s">
        <v>25</v>
      </c>
      <c r="E7" s="184" t="s">
        <v>3367</v>
      </c>
      <c r="F7" s="200">
        <v>44929</v>
      </c>
    </row>
    <row r="8" spans="1:9" x14ac:dyDescent="0.3">
      <c r="A8" s="229">
        <v>230474</v>
      </c>
      <c r="B8" s="86" t="s">
        <v>4399</v>
      </c>
      <c r="C8" s="228">
        <v>852832105527</v>
      </c>
      <c r="D8" s="19" t="s">
        <v>202</v>
      </c>
      <c r="E8" s="184" t="s">
        <v>3367</v>
      </c>
      <c r="F8" s="200">
        <v>44929</v>
      </c>
    </row>
    <row r="9" spans="1:9" x14ac:dyDescent="0.3">
      <c r="A9" s="229">
        <v>234385</v>
      </c>
      <c r="B9" s="86" t="s">
        <v>4400</v>
      </c>
      <c r="C9" s="228">
        <v>7790240090154</v>
      </c>
      <c r="D9" s="19" t="s">
        <v>202</v>
      </c>
      <c r="E9" s="184" t="s">
        <v>3367</v>
      </c>
      <c r="F9" s="200">
        <v>44929</v>
      </c>
    </row>
    <row r="10" spans="1:9" x14ac:dyDescent="0.3">
      <c r="A10" s="229">
        <v>11936</v>
      </c>
      <c r="B10" s="86" t="s">
        <v>4401</v>
      </c>
      <c r="C10" s="228">
        <v>9322214014828</v>
      </c>
      <c r="D10" s="19" t="s">
        <v>202</v>
      </c>
      <c r="E10" s="184" t="s">
        <v>3367</v>
      </c>
      <c r="F10" s="200">
        <v>44929</v>
      </c>
    </row>
    <row r="11" spans="1:9" x14ac:dyDescent="0.3">
      <c r="A11" s="229">
        <v>17759</v>
      </c>
      <c r="B11" s="86" t="s">
        <v>4402</v>
      </c>
      <c r="C11" s="228">
        <v>9311789828602</v>
      </c>
      <c r="D11" s="19" t="s">
        <v>202</v>
      </c>
      <c r="E11" s="184" t="s">
        <v>3367</v>
      </c>
      <c r="F11" s="200">
        <v>44929</v>
      </c>
    </row>
    <row r="12" spans="1:9" x14ac:dyDescent="0.3">
      <c r="A12" s="229">
        <v>553859</v>
      </c>
      <c r="B12" s="86" t="s">
        <v>4403</v>
      </c>
      <c r="C12" s="228">
        <v>9300694000821</v>
      </c>
      <c r="D12" s="19" t="s">
        <v>202</v>
      </c>
      <c r="E12" s="184" t="s">
        <v>3367</v>
      </c>
      <c r="F12" s="200">
        <v>44929</v>
      </c>
    </row>
    <row r="13" spans="1:9" x14ac:dyDescent="0.3">
      <c r="A13" s="229">
        <v>572362</v>
      </c>
      <c r="B13" s="86" t="s">
        <v>4404</v>
      </c>
      <c r="C13" s="228">
        <v>8410113002303</v>
      </c>
      <c r="D13" s="19" t="s">
        <v>202</v>
      </c>
      <c r="E13" s="184" t="s">
        <v>3367</v>
      </c>
      <c r="F13" s="200">
        <v>44929</v>
      </c>
    </row>
    <row r="14" spans="1:9" x14ac:dyDescent="0.3">
      <c r="A14" s="229">
        <v>527457</v>
      </c>
      <c r="B14" s="86" t="s">
        <v>4405</v>
      </c>
      <c r="C14" s="228">
        <v>6001452371506</v>
      </c>
      <c r="D14" s="19" t="s">
        <v>202</v>
      </c>
      <c r="E14" s="184" t="s">
        <v>3367</v>
      </c>
      <c r="F14" s="200">
        <v>44929</v>
      </c>
    </row>
    <row r="15" spans="1:9" x14ac:dyDescent="0.3">
      <c r="A15" s="229">
        <v>358960</v>
      </c>
      <c r="B15" s="86" t="s">
        <v>4406</v>
      </c>
      <c r="C15" s="228">
        <v>6001496301200</v>
      </c>
      <c r="D15" s="19" t="s">
        <v>202</v>
      </c>
      <c r="E15" s="184" t="s">
        <v>3367</v>
      </c>
      <c r="F15" s="200">
        <v>44929</v>
      </c>
    </row>
    <row r="16" spans="1:9" x14ac:dyDescent="0.3">
      <c r="A16" s="229">
        <v>15867</v>
      </c>
      <c r="B16" s="86" t="s">
        <v>4407</v>
      </c>
      <c r="C16" s="228">
        <v>98137113236</v>
      </c>
      <c r="D16" s="19" t="s">
        <v>202</v>
      </c>
      <c r="E16" s="184" t="s">
        <v>3367</v>
      </c>
      <c r="F16" s="200">
        <v>44929</v>
      </c>
    </row>
    <row r="17" spans="1:6" x14ac:dyDescent="0.3">
      <c r="A17" s="229">
        <v>27830</v>
      </c>
      <c r="B17" s="86" t="s">
        <v>4132</v>
      </c>
      <c r="C17" s="228" t="str">
        <f>"812339001029"</f>
        <v>812339001029</v>
      </c>
      <c r="D17" s="19" t="s">
        <v>2702</v>
      </c>
      <c r="E17" s="184" t="s">
        <v>3367</v>
      </c>
      <c r="F17" s="200">
        <v>44929</v>
      </c>
    </row>
    <row r="18" spans="1:6" x14ac:dyDescent="0.3">
      <c r="A18" s="229">
        <v>12329</v>
      </c>
      <c r="B18" s="86" t="s">
        <v>4128</v>
      </c>
      <c r="C18" s="228" t="str">
        <f>"056327013742"</f>
        <v>056327013742</v>
      </c>
      <c r="D18" s="19" t="s">
        <v>124</v>
      </c>
      <c r="E18" s="184" t="s">
        <v>4398</v>
      </c>
      <c r="F18" s="200">
        <v>44915</v>
      </c>
    </row>
    <row r="19" spans="1:6" s="39" customFormat="1" ht="12.65" customHeight="1" x14ac:dyDescent="0.3">
      <c r="A19" s="19">
        <v>20035</v>
      </c>
      <c r="B19" s="104" t="s">
        <v>4396</v>
      </c>
      <c r="C19" s="218" t="str">
        <f>"627167100895"</f>
        <v>627167100895</v>
      </c>
      <c r="D19" s="157" t="s">
        <v>25</v>
      </c>
      <c r="E19" s="145" t="s">
        <v>3367</v>
      </c>
      <c r="F19" s="200">
        <v>44922</v>
      </c>
    </row>
    <row r="20" spans="1:6" s="39" customFormat="1" ht="12.65" customHeight="1" x14ac:dyDescent="0.3">
      <c r="A20" s="19">
        <v>139162</v>
      </c>
      <c r="B20" s="104" t="s">
        <v>2783</v>
      </c>
      <c r="C20" s="218" t="str">
        <f>"627167100406"</f>
        <v>627167100406</v>
      </c>
      <c r="D20" s="157" t="s">
        <v>25</v>
      </c>
      <c r="E20" s="145" t="s">
        <v>3367</v>
      </c>
      <c r="F20" s="200">
        <v>44922</v>
      </c>
    </row>
    <row r="21" spans="1:6" s="39" customFormat="1" ht="12.65" customHeight="1" x14ac:dyDescent="0.3">
      <c r="A21" s="155">
        <v>20069</v>
      </c>
      <c r="B21" s="104" t="s">
        <v>4397</v>
      </c>
      <c r="C21" s="218" t="str">
        <f>"062067384370"</f>
        <v>062067384370</v>
      </c>
      <c r="D21" s="157" t="s">
        <v>25</v>
      </c>
      <c r="E21" s="145" t="s">
        <v>3367</v>
      </c>
      <c r="F21" s="200">
        <v>44922</v>
      </c>
    </row>
    <row r="22" spans="1:6" s="39" customFormat="1" ht="12.65" customHeight="1" x14ac:dyDescent="0.3">
      <c r="A22" s="19">
        <v>25066</v>
      </c>
      <c r="B22" s="104" t="s">
        <v>4395</v>
      </c>
      <c r="C22" s="218" t="str">
        <f>"874537002895"</f>
        <v>874537002895</v>
      </c>
      <c r="D22" s="157" t="s">
        <v>25</v>
      </c>
      <c r="E22" s="145" t="s">
        <v>3367</v>
      </c>
      <c r="F22" s="200">
        <v>44922</v>
      </c>
    </row>
    <row r="23" spans="1:6" s="39" customFormat="1" ht="12.65" customHeight="1" x14ac:dyDescent="0.3">
      <c r="A23" s="19">
        <v>12215</v>
      </c>
      <c r="B23" s="104" t="s">
        <v>4394</v>
      </c>
      <c r="C23" s="218" t="str">
        <f>"898072000000"</f>
        <v>898072000000</v>
      </c>
      <c r="D23" s="157" t="s">
        <v>25</v>
      </c>
      <c r="E23" s="145" t="s">
        <v>3367</v>
      </c>
      <c r="F23" s="200">
        <v>44908</v>
      </c>
    </row>
    <row r="24" spans="1:6" s="39" customFormat="1" ht="12.65" customHeight="1" x14ac:dyDescent="0.3">
      <c r="A24" s="19">
        <v>20261</v>
      </c>
      <c r="B24" s="104" t="s">
        <v>4393</v>
      </c>
      <c r="C24" s="218">
        <v>627222147193</v>
      </c>
      <c r="D24" s="157" t="s">
        <v>202</v>
      </c>
      <c r="E24" s="145" t="s">
        <v>3367</v>
      </c>
      <c r="F24" s="200">
        <v>44908</v>
      </c>
    </row>
    <row r="25" spans="1:6" s="39" customFormat="1" ht="12.65" customHeight="1" x14ac:dyDescent="0.3">
      <c r="A25" s="19">
        <v>19164</v>
      </c>
      <c r="B25" s="170" t="s">
        <v>4391</v>
      </c>
      <c r="C25" s="218">
        <v>874537000457</v>
      </c>
      <c r="D25" s="157" t="s">
        <v>137</v>
      </c>
      <c r="E25" s="145" t="s">
        <v>3367</v>
      </c>
      <c r="F25" s="200">
        <v>44922</v>
      </c>
    </row>
    <row r="26" spans="1:6" s="39" customFormat="1" ht="12.65" customHeight="1" x14ac:dyDescent="0.3">
      <c r="A26" s="19">
        <v>18307</v>
      </c>
      <c r="B26" s="104" t="s">
        <v>4392</v>
      </c>
      <c r="C26" s="218">
        <v>874537000471</v>
      </c>
      <c r="D26" s="157" t="s">
        <v>137</v>
      </c>
      <c r="E26" s="145" t="s">
        <v>3367</v>
      </c>
      <c r="F26" s="200">
        <v>44922</v>
      </c>
    </row>
    <row r="27" spans="1:6" s="39" customFormat="1" ht="12.65" customHeight="1" x14ac:dyDescent="0.3">
      <c r="A27" s="241">
        <v>13248</v>
      </c>
      <c r="B27" s="104" t="s">
        <v>4389</v>
      </c>
      <c r="C27" s="218" t="s">
        <v>4390</v>
      </c>
      <c r="D27" s="157" t="s">
        <v>202</v>
      </c>
      <c r="E27" s="145" t="s">
        <v>3367</v>
      </c>
      <c r="F27" s="200">
        <v>44901</v>
      </c>
    </row>
    <row r="28" spans="1:6" s="39" customFormat="1" ht="12.65" customHeight="1" x14ac:dyDescent="0.3">
      <c r="A28" s="241">
        <v>586024</v>
      </c>
      <c r="B28" s="104" t="s">
        <v>4388</v>
      </c>
      <c r="C28" s="218" t="str">
        <f>"056910420711"</f>
        <v>056910420711</v>
      </c>
      <c r="D28" s="157" t="s">
        <v>34</v>
      </c>
      <c r="E28" s="145" t="s">
        <v>3367</v>
      </c>
      <c r="F28" s="200">
        <v>44915</v>
      </c>
    </row>
    <row r="29" spans="1:6" s="39" customFormat="1" ht="12.65" customHeight="1" x14ac:dyDescent="0.3">
      <c r="A29" s="241">
        <v>27800</v>
      </c>
      <c r="B29" s="104" t="s">
        <v>4387</v>
      </c>
      <c r="C29" s="232" t="str">
        <f>"691245100091"</f>
        <v>691245100091</v>
      </c>
      <c r="D29" s="157" t="s">
        <v>124</v>
      </c>
      <c r="E29" s="145" t="s">
        <v>3367</v>
      </c>
      <c r="F29" s="200">
        <v>44915</v>
      </c>
    </row>
    <row r="30" spans="1:6" s="39" customFormat="1" ht="12.65" customHeight="1" x14ac:dyDescent="0.3">
      <c r="A30" s="241">
        <v>17262</v>
      </c>
      <c r="B30" s="104" t="s">
        <v>4386</v>
      </c>
      <c r="C30" s="232" t="str">
        <f>"628110802088"</f>
        <v>628110802088</v>
      </c>
      <c r="D30" s="157" t="s">
        <v>25</v>
      </c>
      <c r="E30" s="145" t="s">
        <v>3367</v>
      </c>
      <c r="F30" s="200">
        <v>44915</v>
      </c>
    </row>
    <row r="31" spans="1:6" s="39" customFormat="1" ht="12.65" customHeight="1" x14ac:dyDescent="0.3">
      <c r="A31" s="241">
        <v>20137</v>
      </c>
      <c r="B31" s="104" t="s">
        <v>3707</v>
      </c>
      <c r="C31" s="232" t="str">
        <f>"776029705638"</f>
        <v>776029705638</v>
      </c>
      <c r="D31" s="157" t="s">
        <v>25</v>
      </c>
      <c r="E31" s="145" t="s">
        <v>3367</v>
      </c>
      <c r="F31" s="200">
        <v>44915</v>
      </c>
    </row>
    <row r="32" spans="1:6" s="39" customFormat="1" ht="12.65" customHeight="1" x14ac:dyDescent="0.3">
      <c r="A32" s="241">
        <v>20813</v>
      </c>
      <c r="B32" s="104" t="s">
        <v>4385</v>
      </c>
      <c r="C32" s="232" t="str">
        <f>"627843615453"</f>
        <v>627843615453</v>
      </c>
      <c r="D32" s="157" t="s">
        <v>25</v>
      </c>
      <c r="E32" s="145" t="s">
        <v>3367</v>
      </c>
      <c r="F32" s="200">
        <v>44901</v>
      </c>
    </row>
    <row r="33" spans="1:6" s="39" customFormat="1" ht="12.65" customHeight="1" x14ac:dyDescent="0.3">
      <c r="A33" s="241">
        <v>648410</v>
      </c>
      <c r="B33" s="104" t="s">
        <v>4384</v>
      </c>
      <c r="C33" s="232" t="str">
        <f>"628055640035"</f>
        <v>628055640035</v>
      </c>
      <c r="D33" s="157" t="s">
        <v>25</v>
      </c>
      <c r="E33" s="145" t="s">
        <v>3367</v>
      </c>
      <c r="F33" s="200">
        <v>44915</v>
      </c>
    </row>
    <row r="34" spans="1:6" s="39" customFormat="1" ht="12.65" customHeight="1" x14ac:dyDescent="0.3">
      <c r="A34" s="241">
        <v>26910</v>
      </c>
      <c r="B34" s="104" t="s">
        <v>4383</v>
      </c>
      <c r="C34" s="232" t="str">
        <f>"062067388378"</f>
        <v>062067388378</v>
      </c>
      <c r="D34" s="157" t="s">
        <v>98</v>
      </c>
      <c r="E34" s="145" t="s">
        <v>3367</v>
      </c>
      <c r="F34" s="200">
        <v>44915</v>
      </c>
    </row>
    <row r="35" spans="1:6" s="39" customFormat="1" ht="12.65" customHeight="1" x14ac:dyDescent="0.3">
      <c r="A35" s="241">
        <v>635052</v>
      </c>
      <c r="B35" s="104" t="s">
        <v>3837</v>
      </c>
      <c r="C35" s="232" t="str">
        <f>"627843992028"</f>
        <v>627843992028</v>
      </c>
      <c r="D35" s="157" t="s">
        <v>25</v>
      </c>
      <c r="E35" s="145" t="s">
        <v>3367</v>
      </c>
      <c r="F35" s="200">
        <v>44894</v>
      </c>
    </row>
    <row r="36" spans="1:6" s="39" customFormat="1" ht="12.65" customHeight="1" x14ac:dyDescent="0.3">
      <c r="A36" s="241">
        <v>15589</v>
      </c>
      <c r="B36" s="104" t="s">
        <v>4381</v>
      </c>
      <c r="C36" s="232" t="str">
        <f>"628055731160"</f>
        <v>628055731160</v>
      </c>
      <c r="D36" s="157" t="s">
        <v>124</v>
      </c>
      <c r="E36" s="145" t="s">
        <v>3367</v>
      </c>
      <c r="F36" s="200">
        <v>44889</v>
      </c>
    </row>
    <row r="37" spans="1:6" s="39" customFormat="1" ht="12.65" customHeight="1" x14ac:dyDescent="0.3">
      <c r="A37" s="241">
        <v>627166</v>
      </c>
      <c r="B37" s="104" t="s">
        <v>4380</v>
      </c>
      <c r="C37" s="232">
        <v>620654043002</v>
      </c>
      <c r="D37" s="157" t="s">
        <v>202</v>
      </c>
      <c r="E37" s="145" t="s">
        <v>3367</v>
      </c>
      <c r="F37" s="200">
        <v>44887</v>
      </c>
    </row>
    <row r="38" spans="1:6" s="39" customFormat="1" ht="12.65" customHeight="1" x14ac:dyDescent="0.3">
      <c r="A38" s="241">
        <v>648683</v>
      </c>
      <c r="B38" s="104" t="s">
        <v>3502</v>
      </c>
      <c r="C38" s="232" t="str">
        <f>"064294492989"</f>
        <v>064294492989</v>
      </c>
      <c r="D38" s="157" t="s">
        <v>25</v>
      </c>
      <c r="E38" s="145" t="s">
        <v>3367</v>
      </c>
      <c r="F38" s="200">
        <v>44889</v>
      </c>
    </row>
    <row r="39" spans="1:6" s="39" customFormat="1" ht="12.65" customHeight="1" x14ac:dyDescent="0.3">
      <c r="A39" s="241">
        <v>36434</v>
      </c>
      <c r="B39" s="104" t="s">
        <v>4379</v>
      </c>
      <c r="C39" s="232">
        <v>874537007135</v>
      </c>
      <c r="D39" s="157" t="s">
        <v>202</v>
      </c>
      <c r="E39" s="145" t="s">
        <v>3367</v>
      </c>
      <c r="F39" s="200">
        <v>44901</v>
      </c>
    </row>
    <row r="40" spans="1:6" s="39" customFormat="1" ht="12.65" customHeight="1" x14ac:dyDescent="0.3">
      <c r="A40" s="241">
        <v>453084</v>
      </c>
      <c r="B40" s="104" t="s">
        <v>4377</v>
      </c>
      <c r="C40" s="232">
        <v>3185370000335</v>
      </c>
      <c r="D40" s="157" t="s">
        <v>202</v>
      </c>
      <c r="E40" s="145" t="s">
        <v>4378</v>
      </c>
      <c r="F40" s="200">
        <v>44887</v>
      </c>
    </row>
    <row r="41" spans="1:6" s="39" customFormat="1" ht="12.65" customHeight="1" x14ac:dyDescent="0.3">
      <c r="A41" s="241">
        <v>18392</v>
      </c>
      <c r="B41" s="104" t="s">
        <v>4376</v>
      </c>
      <c r="C41" s="232">
        <v>63657042410</v>
      </c>
      <c r="D41" s="157" t="s">
        <v>455</v>
      </c>
      <c r="E41" s="145" t="s">
        <v>3367</v>
      </c>
      <c r="F41" s="200">
        <v>44887</v>
      </c>
    </row>
    <row r="42" spans="1:6" s="39" customFormat="1" ht="12.65" customHeight="1" x14ac:dyDescent="0.3">
      <c r="A42" s="241">
        <v>19274</v>
      </c>
      <c r="B42" s="104" t="s">
        <v>4375</v>
      </c>
      <c r="C42" s="232">
        <v>7798074860288</v>
      </c>
      <c r="D42" s="157" t="s">
        <v>202</v>
      </c>
      <c r="E42" s="145" t="s">
        <v>3367</v>
      </c>
      <c r="F42" s="200">
        <v>44887</v>
      </c>
    </row>
    <row r="43" spans="1:6" s="39" customFormat="1" ht="12.65" customHeight="1" x14ac:dyDescent="0.3">
      <c r="A43" s="241">
        <v>10424</v>
      </c>
      <c r="B43" s="104" t="s">
        <v>4374</v>
      </c>
      <c r="C43" s="232">
        <v>894509008786</v>
      </c>
      <c r="D43" s="157" t="s">
        <v>202</v>
      </c>
      <c r="E43" s="145" t="s">
        <v>3367</v>
      </c>
      <c r="F43" s="200">
        <v>44901</v>
      </c>
    </row>
    <row r="44" spans="1:6" s="39" customFormat="1" ht="12.65" customHeight="1" x14ac:dyDescent="0.3">
      <c r="A44" s="241">
        <v>905976</v>
      </c>
      <c r="B44" s="104" t="s">
        <v>4372</v>
      </c>
      <c r="C44" s="232" t="str">
        <f>"062067335358"</f>
        <v>062067335358</v>
      </c>
      <c r="D44" s="157" t="s">
        <v>25</v>
      </c>
      <c r="E44" s="145" t="s">
        <v>4373</v>
      </c>
      <c r="F44" s="200">
        <v>44901</v>
      </c>
    </row>
    <row r="45" spans="1:6" s="39" customFormat="1" ht="12.65" customHeight="1" x14ac:dyDescent="0.3">
      <c r="A45" s="241">
        <v>27757</v>
      </c>
      <c r="B45" s="104" t="s">
        <v>4371</v>
      </c>
      <c r="C45" s="232">
        <v>779373645100</v>
      </c>
      <c r="D45" s="157" t="s">
        <v>202</v>
      </c>
      <c r="E45" s="145" t="s">
        <v>3367</v>
      </c>
      <c r="F45" s="200">
        <v>44880</v>
      </c>
    </row>
    <row r="46" spans="1:6" s="39" customFormat="1" ht="12.65" customHeight="1" x14ac:dyDescent="0.3">
      <c r="A46" s="241">
        <v>21486</v>
      </c>
      <c r="B46" s="104" t="s">
        <v>4370</v>
      </c>
      <c r="C46" s="232" t="str">
        <f>"628110037558"</f>
        <v>628110037558</v>
      </c>
      <c r="D46" s="157" t="s">
        <v>2702</v>
      </c>
      <c r="E46" s="145" t="s">
        <v>3367</v>
      </c>
      <c r="F46" s="200">
        <v>44894</v>
      </c>
    </row>
    <row r="47" spans="1:6" s="39" customFormat="1" ht="12.65" customHeight="1" x14ac:dyDescent="0.3">
      <c r="A47" s="241">
        <v>618769</v>
      </c>
      <c r="B47" s="104" t="s">
        <v>4369</v>
      </c>
      <c r="C47" s="232" t="str">
        <f>"628055427117"</f>
        <v>628055427117</v>
      </c>
      <c r="D47" s="157" t="s">
        <v>25</v>
      </c>
      <c r="E47" s="145" t="s">
        <v>3367</v>
      </c>
      <c r="F47" s="200">
        <v>44894</v>
      </c>
    </row>
    <row r="48" spans="1:6" s="39" customFormat="1" x14ac:dyDescent="0.3">
      <c r="A48" s="239">
        <v>26881</v>
      </c>
      <c r="B48" s="104" t="s">
        <v>4368</v>
      </c>
      <c r="C48" s="232" t="str">
        <f>"793888596719"</f>
        <v>793888596719</v>
      </c>
      <c r="D48" s="19" t="s">
        <v>48</v>
      </c>
      <c r="E48" s="145" t="s">
        <v>3367</v>
      </c>
      <c r="F48" s="200">
        <v>44887</v>
      </c>
    </row>
    <row r="49" spans="1:6" s="39" customFormat="1" ht="12.65" customHeight="1" x14ac:dyDescent="0.3">
      <c r="A49" s="241">
        <v>10559</v>
      </c>
      <c r="B49" s="104" t="s">
        <v>4352</v>
      </c>
      <c r="C49" s="232" t="str">
        <f>"626824180058"</f>
        <v>626824180058</v>
      </c>
      <c r="D49" s="157" t="s">
        <v>4353</v>
      </c>
      <c r="E49" s="145" t="s">
        <v>4382</v>
      </c>
      <c r="F49" s="200">
        <v>44894</v>
      </c>
    </row>
    <row r="50" spans="1:6" s="39" customFormat="1" ht="12.65" customHeight="1" x14ac:dyDescent="0.3">
      <c r="A50" s="241">
        <v>14952</v>
      </c>
      <c r="B50" s="104" t="s">
        <v>4354</v>
      </c>
      <c r="C50" s="232" t="str">
        <f>"626824190033"</f>
        <v>626824190033</v>
      </c>
      <c r="D50" s="157" t="s">
        <v>25</v>
      </c>
      <c r="E50" s="145" t="s">
        <v>4382</v>
      </c>
      <c r="F50" s="200">
        <v>44894</v>
      </c>
    </row>
    <row r="51" spans="1:6" s="39" customFormat="1" ht="12.65" customHeight="1" x14ac:dyDescent="0.3">
      <c r="A51" s="241">
        <v>14953</v>
      </c>
      <c r="B51" s="104" t="s">
        <v>4355</v>
      </c>
      <c r="C51" s="232" t="str">
        <f>"626824190057"</f>
        <v>626824190057</v>
      </c>
      <c r="D51" s="157" t="s">
        <v>25</v>
      </c>
      <c r="E51" s="145" t="s">
        <v>4382</v>
      </c>
      <c r="F51" s="200">
        <v>44894</v>
      </c>
    </row>
    <row r="52" spans="1:6" s="39" customFormat="1" ht="12.65" customHeight="1" x14ac:dyDescent="0.3">
      <c r="A52" s="241">
        <v>16896</v>
      </c>
      <c r="B52" s="104" t="s">
        <v>4356</v>
      </c>
      <c r="C52" s="232" t="str">
        <f>"626824190040"</f>
        <v>626824190040</v>
      </c>
      <c r="D52" s="157" t="s">
        <v>25</v>
      </c>
      <c r="E52" s="145" t="s">
        <v>4382</v>
      </c>
      <c r="F52" s="200">
        <v>44894</v>
      </c>
    </row>
    <row r="53" spans="1:6" s="39" customFormat="1" ht="12.65" customHeight="1" x14ac:dyDescent="0.3">
      <c r="A53" s="241">
        <v>19585</v>
      </c>
      <c r="B53" s="104" t="s">
        <v>4357</v>
      </c>
      <c r="C53" s="232" t="str">
        <f>"626824210014"</f>
        <v>626824210014</v>
      </c>
      <c r="D53" s="157" t="s">
        <v>98</v>
      </c>
      <c r="E53" s="145" t="s">
        <v>4382</v>
      </c>
      <c r="F53" s="200">
        <v>44894</v>
      </c>
    </row>
    <row r="54" spans="1:6" s="39" customFormat="1" ht="12.65" customHeight="1" x14ac:dyDescent="0.3">
      <c r="A54" s="241">
        <v>24666</v>
      </c>
      <c r="B54" s="104" t="s">
        <v>4358</v>
      </c>
      <c r="C54" s="232" t="str">
        <f>"626824210045"</f>
        <v>626824210045</v>
      </c>
      <c r="D54" s="157" t="s">
        <v>25</v>
      </c>
      <c r="E54" s="145" t="s">
        <v>4382</v>
      </c>
      <c r="F54" s="200">
        <v>44894</v>
      </c>
    </row>
    <row r="55" spans="1:6" s="39" customFormat="1" ht="12.65" customHeight="1" x14ac:dyDescent="0.3">
      <c r="A55" s="241">
        <v>24668</v>
      </c>
      <c r="B55" s="104" t="s">
        <v>4359</v>
      </c>
      <c r="C55" s="232" t="str">
        <f>"626824220037"</f>
        <v>626824220037</v>
      </c>
      <c r="D55" s="157" t="s">
        <v>124</v>
      </c>
      <c r="E55" s="145" t="s">
        <v>4382</v>
      </c>
      <c r="F55" s="200">
        <v>44894</v>
      </c>
    </row>
    <row r="56" spans="1:6" s="39" customFormat="1" ht="12.65" customHeight="1" x14ac:dyDescent="0.3">
      <c r="A56" s="241">
        <v>142331</v>
      </c>
      <c r="B56" s="104" t="s">
        <v>4360</v>
      </c>
      <c r="C56" s="232" t="str">
        <f>"626824900052"</f>
        <v>626824900052</v>
      </c>
      <c r="D56" s="157" t="s">
        <v>25</v>
      </c>
      <c r="E56" s="145" t="s">
        <v>4382</v>
      </c>
      <c r="F56" s="200">
        <v>44894</v>
      </c>
    </row>
    <row r="57" spans="1:6" s="39" customFormat="1" ht="12.65" customHeight="1" x14ac:dyDescent="0.3">
      <c r="A57" s="241">
        <v>142356</v>
      </c>
      <c r="B57" s="104" t="s">
        <v>114</v>
      </c>
      <c r="C57" s="232" t="str">
        <f>"626824900014"</f>
        <v>626824900014</v>
      </c>
      <c r="D57" s="157" t="s">
        <v>25</v>
      </c>
      <c r="E57" s="145" t="s">
        <v>4382</v>
      </c>
      <c r="F57" s="200">
        <v>44894</v>
      </c>
    </row>
    <row r="58" spans="1:6" s="39" customFormat="1" ht="12.65" customHeight="1" x14ac:dyDescent="0.3">
      <c r="A58" s="241">
        <v>351429</v>
      </c>
      <c r="B58" s="104" t="s">
        <v>4361</v>
      </c>
      <c r="C58" s="232" t="str">
        <f>"626824700027"</f>
        <v>626824700027</v>
      </c>
      <c r="D58" s="157" t="s">
        <v>25</v>
      </c>
      <c r="E58" s="145" t="s">
        <v>4382</v>
      </c>
      <c r="F58" s="200">
        <v>44894</v>
      </c>
    </row>
    <row r="59" spans="1:6" s="39" customFormat="1" ht="12.65" customHeight="1" x14ac:dyDescent="0.3">
      <c r="A59" s="241">
        <v>415174</v>
      </c>
      <c r="B59" s="104" t="s">
        <v>4362</v>
      </c>
      <c r="C59" s="232" t="str">
        <f>"626824900021"</f>
        <v>626824900021</v>
      </c>
      <c r="D59" s="157" t="s">
        <v>25</v>
      </c>
      <c r="E59" s="145" t="s">
        <v>4382</v>
      </c>
      <c r="F59" s="200">
        <v>44894</v>
      </c>
    </row>
    <row r="60" spans="1:6" s="39" customFormat="1" ht="12.65" customHeight="1" x14ac:dyDescent="0.3">
      <c r="A60" s="241">
        <v>460899</v>
      </c>
      <c r="B60" s="104" t="s">
        <v>4363</v>
      </c>
      <c r="C60" s="232" t="str">
        <f>"626824600082"</f>
        <v>626824600082</v>
      </c>
      <c r="D60" s="157" t="s">
        <v>25</v>
      </c>
      <c r="E60" s="145" t="s">
        <v>4382</v>
      </c>
      <c r="F60" s="200">
        <v>44894</v>
      </c>
    </row>
    <row r="61" spans="1:6" s="39" customFormat="1" ht="12.65" customHeight="1" x14ac:dyDescent="0.3">
      <c r="A61" s="241">
        <v>523258</v>
      </c>
      <c r="B61" s="104" t="s">
        <v>3789</v>
      </c>
      <c r="C61" s="232" t="str">
        <f>"626824410018"</f>
        <v>626824410018</v>
      </c>
      <c r="D61" s="157" t="s">
        <v>124</v>
      </c>
      <c r="E61" s="145" t="s">
        <v>4382</v>
      </c>
      <c r="F61" s="200">
        <v>44894</v>
      </c>
    </row>
    <row r="62" spans="1:6" s="39" customFormat="1" ht="12.65" customHeight="1" x14ac:dyDescent="0.3">
      <c r="A62" s="241">
        <v>573576</v>
      </c>
      <c r="B62" s="104" t="s">
        <v>4364</v>
      </c>
      <c r="C62" s="232" t="str">
        <f>"626824180041"</f>
        <v>626824180041</v>
      </c>
      <c r="D62" s="157" t="s">
        <v>25</v>
      </c>
      <c r="E62" s="145" t="s">
        <v>4382</v>
      </c>
      <c r="F62" s="200">
        <v>44894</v>
      </c>
    </row>
    <row r="63" spans="1:6" s="39" customFormat="1" ht="12.65" customHeight="1" x14ac:dyDescent="0.3">
      <c r="A63" s="241">
        <v>575357</v>
      </c>
      <c r="B63" s="104" t="s">
        <v>4365</v>
      </c>
      <c r="C63" s="232" t="str">
        <f>"626824180010"</f>
        <v>626824180010</v>
      </c>
      <c r="D63" s="157" t="s">
        <v>2213</v>
      </c>
      <c r="E63" s="145" t="s">
        <v>4382</v>
      </c>
      <c r="F63" s="200">
        <v>44894</v>
      </c>
    </row>
    <row r="64" spans="1:6" s="39" customFormat="1" ht="12.65" customHeight="1" x14ac:dyDescent="0.3">
      <c r="A64" s="241">
        <v>617647</v>
      </c>
      <c r="B64" s="104" t="s">
        <v>4366</v>
      </c>
      <c r="C64" s="232" t="str">
        <f>"626824180065"</f>
        <v>626824180065</v>
      </c>
      <c r="D64" s="157" t="s">
        <v>2213</v>
      </c>
      <c r="E64" s="145" t="s">
        <v>4382</v>
      </c>
      <c r="F64" s="200">
        <v>44894</v>
      </c>
    </row>
    <row r="65" spans="1:6" s="39" customFormat="1" ht="12.65" customHeight="1" x14ac:dyDescent="0.3">
      <c r="A65" s="241">
        <v>667790</v>
      </c>
      <c r="B65" s="104" t="s">
        <v>4367</v>
      </c>
      <c r="C65" s="232" t="str">
        <f>"626824180096"</f>
        <v>626824180096</v>
      </c>
      <c r="D65" s="157" t="s">
        <v>98</v>
      </c>
      <c r="E65" s="145" t="s">
        <v>4382</v>
      </c>
      <c r="F65" s="200">
        <v>44894</v>
      </c>
    </row>
    <row r="66" spans="1:6" s="39" customFormat="1" ht="12.65" customHeight="1" x14ac:dyDescent="0.3">
      <c r="A66" s="241">
        <v>218032</v>
      </c>
      <c r="B66" s="104" t="s">
        <v>4351</v>
      </c>
      <c r="C66" s="232">
        <v>85155000013</v>
      </c>
      <c r="D66" s="157" t="s">
        <v>202</v>
      </c>
      <c r="E66" s="145" t="s">
        <v>3367</v>
      </c>
      <c r="F66" s="200">
        <v>44887</v>
      </c>
    </row>
    <row r="67" spans="1:6" s="39" customFormat="1" ht="12.65" customHeight="1" x14ac:dyDescent="0.3">
      <c r="A67" s="241">
        <v>485417</v>
      </c>
      <c r="B67" s="104" t="s">
        <v>4349</v>
      </c>
      <c r="C67" s="232">
        <v>99988071393</v>
      </c>
      <c r="D67" s="157" t="s">
        <v>202</v>
      </c>
      <c r="E67" s="145" t="s">
        <v>3367</v>
      </c>
      <c r="F67" s="200">
        <v>44887</v>
      </c>
    </row>
    <row r="68" spans="1:6" s="39" customFormat="1" ht="12.65" customHeight="1" x14ac:dyDescent="0.3">
      <c r="A68" s="241">
        <v>544114</v>
      </c>
      <c r="B68" s="104" t="s">
        <v>4350</v>
      </c>
      <c r="C68" s="232">
        <v>17444000770</v>
      </c>
      <c r="D68" s="157" t="s">
        <v>202</v>
      </c>
      <c r="E68" s="145" t="s">
        <v>3367</v>
      </c>
      <c r="F68" s="200">
        <v>44887</v>
      </c>
    </row>
    <row r="69" spans="1:6" s="39" customFormat="1" ht="12.65" customHeight="1" x14ac:dyDescent="0.3">
      <c r="A69" s="241">
        <v>10528</v>
      </c>
      <c r="B69" s="104" t="s">
        <v>4348</v>
      </c>
      <c r="C69" s="232">
        <v>693550001278</v>
      </c>
      <c r="D69" s="157" t="s">
        <v>202</v>
      </c>
      <c r="E69" s="145" t="s">
        <v>3367</v>
      </c>
      <c r="F69" s="200">
        <v>44866</v>
      </c>
    </row>
    <row r="70" spans="1:6" s="39" customFormat="1" ht="27.95" x14ac:dyDescent="0.3">
      <c r="A70" s="242">
        <v>25135</v>
      </c>
      <c r="B70" s="243" t="s">
        <v>4346</v>
      </c>
      <c r="C70" s="236" t="str">
        <f>"3080216053677"</f>
        <v>3080216053677</v>
      </c>
      <c r="D70" s="157" t="s">
        <v>37</v>
      </c>
      <c r="E70" s="172" t="s">
        <v>4347</v>
      </c>
      <c r="F70" s="204">
        <v>44862</v>
      </c>
    </row>
    <row r="71" spans="1:6" s="39" customFormat="1" ht="12.65" customHeight="1" x14ac:dyDescent="0.3">
      <c r="A71" s="241">
        <v>17671</v>
      </c>
      <c r="B71" s="104" t="s">
        <v>3394</v>
      </c>
      <c r="C71" s="232" t="str">
        <f>"672975229542"</f>
        <v>672975229542</v>
      </c>
      <c r="D71" s="157" t="s">
        <v>25</v>
      </c>
      <c r="E71" s="145" t="s">
        <v>3367</v>
      </c>
      <c r="F71" s="200">
        <v>44880</v>
      </c>
    </row>
    <row r="72" spans="1:6" s="39" customFormat="1" ht="12.65" customHeight="1" x14ac:dyDescent="0.3">
      <c r="A72" s="241">
        <v>19358</v>
      </c>
      <c r="B72" s="104" t="s">
        <v>4107</v>
      </c>
      <c r="C72" s="232" t="str">
        <f>"672975229740"</f>
        <v>672975229740</v>
      </c>
      <c r="D72" s="157" t="s">
        <v>25</v>
      </c>
      <c r="E72" s="145" t="s">
        <v>3367</v>
      </c>
      <c r="F72" s="200">
        <v>44880</v>
      </c>
    </row>
    <row r="73" spans="1:6" s="39" customFormat="1" ht="12.65" customHeight="1" x14ac:dyDescent="0.3">
      <c r="A73" s="241">
        <v>10103</v>
      </c>
      <c r="B73" s="104" t="s">
        <v>2474</v>
      </c>
      <c r="C73" s="232" t="str">
        <f>"830021000716"</f>
        <v>830021000716</v>
      </c>
      <c r="D73" s="157" t="s">
        <v>37</v>
      </c>
      <c r="E73" s="145" t="s">
        <v>3367</v>
      </c>
      <c r="F73" s="200">
        <v>44863</v>
      </c>
    </row>
    <row r="74" spans="1:6" s="39" customFormat="1" ht="12.65" customHeight="1" x14ac:dyDescent="0.3">
      <c r="A74" s="241">
        <v>10492</v>
      </c>
      <c r="B74" s="104" t="s">
        <v>4345</v>
      </c>
      <c r="C74" s="232" t="str">
        <f>"830021002024"</f>
        <v>830021002024</v>
      </c>
      <c r="D74" s="157" t="s">
        <v>37</v>
      </c>
      <c r="E74" s="145" t="s">
        <v>3367</v>
      </c>
      <c r="F74" s="200">
        <v>44880</v>
      </c>
    </row>
    <row r="75" spans="1:6" s="39" customFormat="1" ht="12.65" customHeight="1" x14ac:dyDescent="0.3">
      <c r="A75" s="239">
        <v>27236</v>
      </c>
      <c r="B75" s="104" t="s">
        <v>4344</v>
      </c>
      <c r="C75" s="232" t="str">
        <f>"628678552029"</f>
        <v>628678552029</v>
      </c>
      <c r="D75" s="157" t="s">
        <v>25</v>
      </c>
      <c r="E75" s="145" t="s">
        <v>3367</v>
      </c>
      <c r="F75" s="200">
        <v>44880</v>
      </c>
    </row>
    <row r="76" spans="1:6" s="39" customFormat="1" ht="12.65" customHeight="1" x14ac:dyDescent="0.3">
      <c r="A76" s="239">
        <v>15497</v>
      </c>
      <c r="B76" s="104" t="s">
        <v>4342</v>
      </c>
      <c r="C76" s="232" t="str">
        <f>"056327016262"</f>
        <v>056327016262</v>
      </c>
      <c r="D76" s="157" t="s">
        <v>98</v>
      </c>
      <c r="E76" s="145" t="s">
        <v>4343</v>
      </c>
      <c r="F76" s="200">
        <v>44873</v>
      </c>
    </row>
    <row r="77" spans="1:6" s="39" customFormat="1" ht="12.65" customHeight="1" x14ac:dyDescent="0.3">
      <c r="A77" s="239">
        <v>13662</v>
      </c>
      <c r="B77" s="104" t="s">
        <v>4341</v>
      </c>
      <c r="C77" s="232" t="str">
        <f>"627843722854"</f>
        <v>627843722854</v>
      </c>
      <c r="D77" s="157" t="s">
        <v>25</v>
      </c>
      <c r="E77" s="145" t="s">
        <v>3367</v>
      </c>
      <c r="F77" s="200">
        <v>44873</v>
      </c>
    </row>
    <row r="78" spans="1:6" s="39" customFormat="1" ht="12.65" customHeight="1" x14ac:dyDescent="0.3">
      <c r="A78" s="239">
        <v>89037</v>
      </c>
      <c r="B78" s="104" t="s">
        <v>4339</v>
      </c>
      <c r="C78" s="232">
        <v>670459011393</v>
      </c>
      <c r="D78" s="157" t="s">
        <v>202</v>
      </c>
      <c r="E78" s="145" t="s">
        <v>3367</v>
      </c>
      <c r="F78" s="200">
        <v>44873</v>
      </c>
    </row>
    <row r="79" spans="1:6" s="39" customFormat="1" ht="12.9" customHeight="1" x14ac:dyDescent="0.3">
      <c r="A79" s="239">
        <v>14791</v>
      </c>
      <c r="B79" s="104" t="s">
        <v>4340</v>
      </c>
      <c r="C79" s="232">
        <v>628055196013</v>
      </c>
      <c r="D79" s="157" t="s">
        <v>1301</v>
      </c>
      <c r="E79" s="145" t="s">
        <v>3367</v>
      </c>
      <c r="F79" s="200">
        <v>44866</v>
      </c>
    </row>
    <row r="80" spans="1:6" s="39" customFormat="1" ht="12.9" customHeight="1" x14ac:dyDescent="0.3">
      <c r="A80" s="239">
        <v>67587</v>
      </c>
      <c r="B80" s="104" t="s">
        <v>4338</v>
      </c>
      <c r="C80" s="232">
        <v>699187000455</v>
      </c>
      <c r="D80" s="157" t="s">
        <v>202</v>
      </c>
      <c r="E80" s="145" t="s">
        <v>3367</v>
      </c>
      <c r="F80" s="200">
        <v>44859</v>
      </c>
    </row>
    <row r="81" spans="1:6" s="39" customFormat="1" ht="12.9" customHeight="1" x14ac:dyDescent="0.3">
      <c r="A81" s="239">
        <v>22990</v>
      </c>
      <c r="B81" s="104" t="s">
        <v>4337</v>
      </c>
      <c r="C81" s="232" t="str">
        <f>"064294682984"</f>
        <v>064294682984</v>
      </c>
      <c r="D81" s="19" t="s">
        <v>25</v>
      </c>
      <c r="E81" s="145" t="s">
        <v>4113</v>
      </c>
      <c r="F81" s="200">
        <v>44854</v>
      </c>
    </row>
    <row r="82" spans="1:6" s="39" customFormat="1" ht="12.9" customHeight="1" x14ac:dyDescent="0.3">
      <c r="A82" s="239">
        <v>15730</v>
      </c>
      <c r="B82" s="104" t="s">
        <v>4333</v>
      </c>
      <c r="C82" s="232" t="str">
        <f>"627987250732"</f>
        <v>627987250732</v>
      </c>
      <c r="D82" s="19" t="s">
        <v>25</v>
      </c>
      <c r="E82" s="145" t="s">
        <v>4113</v>
      </c>
      <c r="F82" s="200">
        <v>44853</v>
      </c>
    </row>
    <row r="83" spans="1:6" s="39" customFormat="1" ht="12.9" customHeight="1" x14ac:dyDescent="0.3">
      <c r="A83" s="239">
        <v>15876</v>
      </c>
      <c r="B83" s="104" t="s">
        <v>4334</v>
      </c>
      <c r="C83" s="232" t="str">
        <f>"627843746034"</f>
        <v>627843746034</v>
      </c>
      <c r="D83" s="19" t="s">
        <v>25</v>
      </c>
      <c r="E83" s="145" t="s">
        <v>4113</v>
      </c>
      <c r="F83" s="200">
        <v>44853</v>
      </c>
    </row>
    <row r="84" spans="1:6" s="39" customFormat="1" ht="12.9" customHeight="1" x14ac:dyDescent="0.3">
      <c r="A84" s="239">
        <v>19358</v>
      </c>
      <c r="B84" s="104" t="s">
        <v>4107</v>
      </c>
      <c r="C84" s="232" t="str">
        <f>"672975229740"</f>
        <v>672975229740</v>
      </c>
      <c r="D84" s="19" t="s">
        <v>25</v>
      </c>
      <c r="E84" s="145" t="s">
        <v>4113</v>
      </c>
      <c r="F84" s="200">
        <v>44853</v>
      </c>
    </row>
    <row r="85" spans="1:6" s="39" customFormat="1" ht="12.9" customHeight="1" x14ac:dyDescent="0.3">
      <c r="A85" s="239">
        <v>27126</v>
      </c>
      <c r="B85" s="104" t="s">
        <v>4335</v>
      </c>
      <c r="C85" s="232" t="str">
        <f>"051497320812"</f>
        <v>051497320812</v>
      </c>
      <c r="D85" s="19" t="s">
        <v>25</v>
      </c>
      <c r="E85" s="145" t="s">
        <v>4113</v>
      </c>
      <c r="F85" s="200">
        <v>44853</v>
      </c>
    </row>
    <row r="86" spans="1:6" s="39" customFormat="1" ht="12.9" customHeight="1" x14ac:dyDescent="0.3">
      <c r="A86" s="239">
        <v>68262</v>
      </c>
      <c r="B86" s="104" t="s">
        <v>4336</v>
      </c>
      <c r="C86" s="232" t="str">
        <f>"644216997299"</f>
        <v>644216997299</v>
      </c>
      <c r="D86" s="19" t="s">
        <v>25</v>
      </c>
      <c r="E86" s="145" t="s">
        <v>4113</v>
      </c>
      <c r="F86" s="200">
        <v>44853</v>
      </c>
    </row>
    <row r="87" spans="1:6" s="39" customFormat="1" ht="12.9" customHeight="1" x14ac:dyDescent="0.3">
      <c r="A87" s="239">
        <v>15547</v>
      </c>
      <c r="B87" s="104" t="s">
        <v>4332</v>
      </c>
      <c r="C87" s="232" t="str">
        <f>"628055387404"</f>
        <v>628055387404</v>
      </c>
      <c r="D87" s="19" t="s">
        <v>25</v>
      </c>
      <c r="E87" s="145" t="s">
        <v>3367</v>
      </c>
      <c r="F87" s="200">
        <v>44849</v>
      </c>
    </row>
    <row r="88" spans="1:6" s="39" customFormat="1" ht="12.9" customHeight="1" x14ac:dyDescent="0.3">
      <c r="A88" s="239">
        <v>484378</v>
      </c>
      <c r="B88" s="104" t="s">
        <v>4331</v>
      </c>
      <c r="C88" s="232" t="str">
        <f>"064294623673"</f>
        <v>064294623673</v>
      </c>
      <c r="D88" s="19" t="s">
        <v>29</v>
      </c>
      <c r="E88" s="145" t="s">
        <v>3367</v>
      </c>
      <c r="F88" s="200">
        <v>44848</v>
      </c>
    </row>
    <row r="89" spans="1:6" s="39" customFormat="1" ht="12.9" customHeight="1" x14ac:dyDescent="0.3">
      <c r="A89" s="239">
        <v>16698</v>
      </c>
      <c r="B89" s="104" t="s">
        <v>4295</v>
      </c>
      <c r="C89" s="232">
        <v>51497153809</v>
      </c>
      <c r="D89" s="19" t="s">
        <v>25</v>
      </c>
      <c r="E89" s="145" t="s">
        <v>3367</v>
      </c>
      <c r="F89" s="200">
        <v>44866</v>
      </c>
    </row>
    <row r="90" spans="1:6" s="39" customFormat="1" ht="12.9" customHeight="1" x14ac:dyDescent="0.3">
      <c r="A90" s="239">
        <v>19498</v>
      </c>
      <c r="B90" s="104" t="s">
        <v>4296</v>
      </c>
      <c r="C90" s="232">
        <v>51497144012</v>
      </c>
      <c r="D90" s="19" t="s">
        <v>25</v>
      </c>
      <c r="E90" s="145" t="s">
        <v>3367</v>
      </c>
      <c r="F90" s="200">
        <v>44866</v>
      </c>
    </row>
    <row r="91" spans="1:6" s="39" customFormat="1" ht="12.9" customHeight="1" x14ac:dyDescent="0.3">
      <c r="A91" s="239">
        <v>20224</v>
      </c>
      <c r="B91" s="104" t="s">
        <v>2395</v>
      </c>
      <c r="C91" s="232">
        <v>672975229634</v>
      </c>
      <c r="D91" s="19" t="s">
        <v>25</v>
      </c>
      <c r="E91" s="145" t="s">
        <v>3367</v>
      </c>
      <c r="F91" s="200">
        <v>44866</v>
      </c>
    </row>
    <row r="92" spans="1:6" s="39" customFormat="1" ht="12.9" customHeight="1" x14ac:dyDescent="0.3">
      <c r="A92" s="239">
        <v>20829</v>
      </c>
      <c r="B92" s="104" t="s">
        <v>4297</v>
      </c>
      <c r="C92" s="232">
        <v>830803000309</v>
      </c>
      <c r="D92" s="19" t="s">
        <v>25</v>
      </c>
      <c r="E92" s="145" t="s">
        <v>3367</v>
      </c>
      <c r="F92" s="200">
        <v>44866</v>
      </c>
    </row>
    <row r="93" spans="1:6" s="39" customFormat="1" x14ac:dyDescent="0.3">
      <c r="A93" s="239">
        <v>22618</v>
      </c>
      <c r="B93" s="104" t="s">
        <v>4298</v>
      </c>
      <c r="C93" s="232">
        <v>628055324188</v>
      </c>
      <c r="D93" s="19" t="s">
        <v>37</v>
      </c>
      <c r="E93" s="145" t="s">
        <v>3367</v>
      </c>
      <c r="F93" s="200">
        <v>44866</v>
      </c>
    </row>
    <row r="94" spans="1:6" s="39" customFormat="1" ht="12.9" customHeight="1" x14ac:dyDescent="0.3">
      <c r="A94" s="239">
        <v>24563</v>
      </c>
      <c r="B94" s="104" t="s">
        <v>4299</v>
      </c>
      <c r="C94" s="232">
        <v>818662000524</v>
      </c>
      <c r="D94" s="19" t="s">
        <v>25</v>
      </c>
      <c r="E94" s="145" t="s">
        <v>3367</v>
      </c>
      <c r="F94" s="200">
        <v>44866</v>
      </c>
    </row>
    <row r="95" spans="1:6" s="39" customFormat="1" ht="12.9" customHeight="1" x14ac:dyDescent="0.3">
      <c r="A95" s="239">
        <v>24569</v>
      </c>
      <c r="B95" s="104" t="s">
        <v>4300</v>
      </c>
      <c r="C95" s="232">
        <v>852500002011</v>
      </c>
      <c r="D95" s="19" t="s">
        <v>25</v>
      </c>
      <c r="E95" s="145" t="s">
        <v>3367</v>
      </c>
      <c r="F95" s="200">
        <v>44866</v>
      </c>
    </row>
    <row r="96" spans="1:6" s="39" customFormat="1" ht="12.9" customHeight="1" x14ac:dyDescent="0.3">
      <c r="A96" s="239">
        <v>24615</v>
      </c>
      <c r="B96" s="104" t="s">
        <v>4301</v>
      </c>
      <c r="C96" s="232">
        <v>691245000186</v>
      </c>
      <c r="D96" s="19" t="s">
        <v>25</v>
      </c>
      <c r="E96" s="145" t="s">
        <v>3367</v>
      </c>
      <c r="F96" s="200">
        <v>44866</v>
      </c>
    </row>
    <row r="97" spans="1:6" s="39" customFormat="1" ht="12.9" customHeight="1" x14ac:dyDescent="0.3">
      <c r="A97" s="239">
        <v>24619</v>
      </c>
      <c r="B97" s="104" t="s">
        <v>4302</v>
      </c>
      <c r="C97" s="232">
        <v>7350064996607</v>
      </c>
      <c r="D97" s="19" t="s">
        <v>25</v>
      </c>
      <c r="E97" s="145" t="s">
        <v>3367</v>
      </c>
      <c r="F97" s="200">
        <v>44866</v>
      </c>
    </row>
    <row r="98" spans="1:6" s="39" customFormat="1" ht="12.9" customHeight="1" x14ac:dyDescent="0.3">
      <c r="A98" s="239">
        <v>25045</v>
      </c>
      <c r="B98" s="104" t="s">
        <v>4241</v>
      </c>
      <c r="C98" s="232">
        <v>687181947203</v>
      </c>
      <c r="D98" s="19" t="s">
        <v>25</v>
      </c>
      <c r="E98" s="145" t="s">
        <v>3367</v>
      </c>
      <c r="F98" s="200">
        <v>44866</v>
      </c>
    </row>
    <row r="99" spans="1:6" s="39" customFormat="1" ht="12.9" customHeight="1" x14ac:dyDescent="0.3">
      <c r="A99" s="239">
        <v>25058</v>
      </c>
      <c r="B99" s="104" t="s">
        <v>4303</v>
      </c>
      <c r="C99" s="232">
        <v>627005032265</v>
      </c>
      <c r="D99" s="19" t="s">
        <v>98</v>
      </c>
      <c r="E99" s="145" t="s">
        <v>3367</v>
      </c>
      <c r="F99" s="200">
        <v>44866</v>
      </c>
    </row>
    <row r="100" spans="1:6" s="39" customFormat="1" ht="12.9" customHeight="1" x14ac:dyDescent="0.3">
      <c r="A100" s="239">
        <v>25060</v>
      </c>
      <c r="B100" s="104" t="s">
        <v>4304</v>
      </c>
      <c r="C100" s="232">
        <v>628028020673</v>
      </c>
      <c r="D100" s="19" t="s">
        <v>25</v>
      </c>
      <c r="E100" s="145" t="s">
        <v>3367</v>
      </c>
      <c r="F100" s="200">
        <v>44866</v>
      </c>
    </row>
    <row r="101" spans="1:6" s="39" customFormat="1" ht="12.9" customHeight="1" x14ac:dyDescent="0.3">
      <c r="A101" s="239">
        <v>25670</v>
      </c>
      <c r="B101" s="104" t="s">
        <v>4305</v>
      </c>
      <c r="C101" s="232">
        <v>776029706253</v>
      </c>
      <c r="D101" s="19" t="s">
        <v>25</v>
      </c>
      <c r="E101" s="145" t="s">
        <v>3367</v>
      </c>
      <c r="F101" s="200">
        <v>44866</v>
      </c>
    </row>
    <row r="102" spans="1:6" s="39" customFormat="1" ht="12.9" customHeight="1" x14ac:dyDescent="0.3">
      <c r="A102" s="239">
        <v>25680</v>
      </c>
      <c r="B102" s="104" t="s">
        <v>4306</v>
      </c>
      <c r="C102" s="232">
        <v>628055731528</v>
      </c>
      <c r="D102" s="19" t="s">
        <v>25</v>
      </c>
      <c r="E102" s="145" t="s">
        <v>3367</v>
      </c>
      <c r="F102" s="200">
        <v>44866</v>
      </c>
    </row>
    <row r="103" spans="1:6" s="39" customFormat="1" ht="12.9" customHeight="1" x14ac:dyDescent="0.3">
      <c r="A103" s="239">
        <v>25689</v>
      </c>
      <c r="B103" s="104" t="s">
        <v>4258</v>
      </c>
      <c r="C103" s="232">
        <v>186360051538</v>
      </c>
      <c r="D103" s="19" t="s">
        <v>25</v>
      </c>
      <c r="E103" s="145" t="s">
        <v>3367</v>
      </c>
      <c r="F103" s="200">
        <v>44866</v>
      </c>
    </row>
    <row r="104" spans="1:6" s="39" customFormat="1" ht="12.9" customHeight="1" x14ac:dyDescent="0.3">
      <c r="A104" s="239">
        <v>25694</v>
      </c>
      <c r="B104" s="104" t="s">
        <v>4307</v>
      </c>
      <c r="C104" s="232">
        <v>621433069046</v>
      </c>
      <c r="D104" s="19" t="s">
        <v>25</v>
      </c>
      <c r="E104" s="145" t="s">
        <v>3367</v>
      </c>
      <c r="F104" s="200">
        <v>44866</v>
      </c>
    </row>
    <row r="105" spans="1:6" s="39" customFormat="1" ht="12.9" customHeight="1" x14ac:dyDescent="0.3">
      <c r="A105" s="239">
        <v>25818</v>
      </c>
      <c r="B105" s="104" t="s">
        <v>4308</v>
      </c>
      <c r="C105" s="232">
        <v>628028020680</v>
      </c>
      <c r="D105" s="19" t="s">
        <v>98</v>
      </c>
      <c r="E105" s="145" t="s">
        <v>3367</v>
      </c>
      <c r="F105" s="200">
        <v>44866</v>
      </c>
    </row>
    <row r="106" spans="1:6" s="39" customFormat="1" ht="12.9" customHeight="1" x14ac:dyDescent="0.3">
      <c r="A106" s="239">
        <v>26064</v>
      </c>
      <c r="B106" s="104" t="s">
        <v>4309</v>
      </c>
      <c r="C106" s="232">
        <v>186360051828</v>
      </c>
      <c r="D106" s="19" t="s">
        <v>25</v>
      </c>
      <c r="E106" s="145" t="s">
        <v>3367</v>
      </c>
      <c r="F106" s="200">
        <v>44866</v>
      </c>
    </row>
    <row r="107" spans="1:6" s="39" customFormat="1" ht="12.9" customHeight="1" x14ac:dyDescent="0.3">
      <c r="A107" s="239">
        <v>26556</v>
      </c>
      <c r="B107" s="104" t="s">
        <v>4310</v>
      </c>
      <c r="C107" s="232">
        <v>51497311230</v>
      </c>
      <c r="D107" s="19" t="s">
        <v>25</v>
      </c>
      <c r="E107" s="145" t="s">
        <v>3367</v>
      </c>
      <c r="F107" s="200">
        <v>44866</v>
      </c>
    </row>
    <row r="108" spans="1:6" s="39" customFormat="1" ht="12.9" customHeight="1" x14ac:dyDescent="0.3">
      <c r="A108" s="239">
        <v>26689</v>
      </c>
      <c r="B108" s="104" t="s">
        <v>4311</v>
      </c>
      <c r="C108" s="232">
        <v>752349968809</v>
      </c>
      <c r="D108" s="19" t="s">
        <v>25</v>
      </c>
      <c r="E108" s="145" t="s">
        <v>3367</v>
      </c>
      <c r="F108" s="200">
        <v>44866</v>
      </c>
    </row>
    <row r="109" spans="1:6" s="39" customFormat="1" ht="12.9" customHeight="1" x14ac:dyDescent="0.3">
      <c r="A109" s="239">
        <v>26692</v>
      </c>
      <c r="B109" s="104" t="s">
        <v>4312</v>
      </c>
      <c r="C109" s="232">
        <v>872604000850</v>
      </c>
      <c r="D109" s="19" t="s">
        <v>25</v>
      </c>
      <c r="E109" s="145" t="s">
        <v>3367</v>
      </c>
      <c r="F109" s="200">
        <v>44866</v>
      </c>
    </row>
    <row r="110" spans="1:6" s="39" customFormat="1" ht="12.9" customHeight="1" x14ac:dyDescent="0.3">
      <c r="A110" s="239">
        <v>26693</v>
      </c>
      <c r="B110" s="104" t="s">
        <v>4313</v>
      </c>
      <c r="C110" s="232">
        <v>627843680789</v>
      </c>
      <c r="D110" s="19" t="s">
        <v>1620</v>
      </c>
      <c r="E110" s="145" t="s">
        <v>3367</v>
      </c>
      <c r="F110" s="200">
        <v>44866</v>
      </c>
    </row>
    <row r="111" spans="1:6" s="39" customFormat="1" ht="12.9" customHeight="1" x14ac:dyDescent="0.3">
      <c r="A111" s="239">
        <v>26694</v>
      </c>
      <c r="B111" s="104" t="s">
        <v>4314</v>
      </c>
      <c r="C111" s="232">
        <v>628669093722</v>
      </c>
      <c r="D111" s="19" t="s">
        <v>25</v>
      </c>
      <c r="E111" s="145" t="s">
        <v>3367</v>
      </c>
      <c r="F111" s="200">
        <v>44866</v>
      </c>
    </row>
    <row r="112" spans="1:6" s="39" customFormat="1" ht="12.9" customHeight="1" x14ac:dyDescent="0.3">
      <c r="A112" s="239">
        <v>26696</v>
      </c>
      <c r="B112" s="104" t="s">
        <v>4315</v>
      </c>
      <c r="C112" s="232">
        <v>628176660103</v>
      </c>
      <c r="D112" s="19" t="s">
        <v>124</v>
      </c>
      <c r="E112" s="145" t="s">
        <v>3367</v>
      </c>
      <c r="F112" s="200">
        <v>44866</v>
      </c>
    </row>
    <row r="113" spans="1:6" s="39" customFormat="1" ht="12.9" customHeight="1" x14ac:dyDescent="0.3">
      <c r="A113" s="239">
        <v>26737</v>
      </c>
      <c r="B113" s="104" t="s">
        <v>4316</v>
      </c>
      <c r="C113" s="232">
        <v>805057001457</v>
      </c>
      <c r="D113" s="19" t="s">
        <v>25</v>
      </c>
      <c r="E113" s="145" t="s">
        <v>3367</v>
      </c>
      <c r="F113" s="200">
        <v>44866</v>
      </c>
    </row>
    <row r="114" spans="1:6" s="39" customFormat="1" ht="12.9" customHeight="1" x14ac:dyDescent="0.3">
      <c r="A114" s="239">
        <v>26793</v>
      </c>
      <c r="B114" s="104" t="s">
        <v>4317</v>
      </c>
      <c r="C114" s="232">
        <v>628055411079</v>
      </c>
      <c r="D114" s="19" t="s">
        <v>25</v>
      </c>
      <c r="E114" s="145" t="s">
        <v>3367</v>
      </c>
      <c r="F114" s="200">
        <v>44866</v>
      </c>
    </row>
    <row r="115" spans="1:6" s="39" customFormat="1" ht="12.9" customHeight="1" x14ac:dyDescent="0.3">
      <c r="A115" s="239">
        <v>26820</v>
      </c>
      <c r="B115" s="104" t="s">
        <v>4318</v>
      </c>
      <c r="C115" s="232">
        <v>628055585206</v>
      </c>
      <c r="D115" s="19" t="s">
        <v>25</v>
      </c>
      <c r="E115" s="145" t="s">
        <v>3367</v>
      </c>
      <c r="F115" s="200">
        <v>44866</v>
      </c>
    </row>
    <row r="116" spans="1:6" s="39" customFormat="1" ht="12.9" customHeight="1" x14ac:dyDescent="0.3">
      <c r="A116" s="239">
        <v>26895</v>
      </c>
      <c r="B116" s="104" t="s">
        <v>4319</v>
      </c>
      <c r="C116" s="232">
        <v>51497323370</v>
      </c>
      <c r="D116" s="19" t="s">
        <v>25</v>
      </c>
      <c r="E116" s="145" t="s">
        <v>3367</v>
      </c>
      <c r="F116" s="200">
        <v>44866</v>
      </c>
    </row>
    <row r="117" spans="1:6" s="39" customFormat="1" ht="12.9" customHeight="1" x14ac:dyDescent="0.3">
      <c r="A117" s="239">
        <v>26919</v>
      </c>
      <c r="B117" s="104" t="s">
        <v>4320</v>
      </c>
      <c r="C117" s="232">
        <v>658580415754</v>
      </c>
      <c r="D117" s="19" t="s">
        <v>25</v>
      </c>
      <c r="E117" s="145" t="s">
        <v>3367</v>
      </c>
      <c r="F117" s="200">
        <v>44866</v>
      </c>
    </row>
    <row r="118" spans="1:6" s="39" customFormat="1" ht="12.9" customHeight="1" x14ac:dyDescent="0.3">
      <c r="A118" s="239">
        <v>26923</v>
      </c>
      <c r="B118" s="104" t="s">
        <v>4321</v>
      </c>
      <c r="C118" s="232">
        <v>742832075534</v>
      </c>
      <c r="D118" s="19" t="s">
        <v>25</v>
      </c>
      <c r="E118" s="145" t="s">
        <v>3367</v>
      </c>
      <c r="F118" s="200">
        <v>44866</v>
      </c>
    </row>
    <row r="119" spans="1:6" s="39" customFormat="1" ht="12.9" customHeight="1" x14ac:dyDescent="0.3">
      <c r="A119" s="239">
        <v>26987</v>
      </c>
      <c r="B119" s="104" t="s">
        <v>4322</v>
      </c>
      <c r="C119" s="232">
        <v>818662000548</v>
      </c>
      <c r="D119" s="19" t="s">
        <v>25</v>
      </c>
      <c r="E119" s="145" t="s">
        <v>3367</v>
      </c>
      <c r="F119" s="200">
        <v>44866</v>
      </c>
    </row>
    <row r="120" spans="1:6" s="39" customFormat="1" ht="12.9" customHeight="1" x14ac:dyDescent="0.3">
      <c r="A120" s="239">
        <v>27004</v>
      </c>
      <c r="B120" s="104" t="s">
        <v>4323</v>
      </c>
      <c r="C120" s="232">
        <v>627843837589</v>
      </c>
      <c r="D120" s="19" t="s">
        <v>25</v>
      </c>
      <c r="E120" s="145" t="s">
        <v>3367</v>
      </c>
      <c r="F120" s="200">
        <v>44866</v>
      </c>
    </row>
    <row r="121" spans="1:6" s="39" customFormat="1" ht="12.9" customHeight="1" x14ac:dyDescent="0.3">
      <c r="A121" s="239">
        <v>27065</v>
      </c>
      <c r="B121" s="104" t="s">
        <v>4324</v>
      </c>
      <c r="C121" s="232">
        <v>666960000209</v>
      </c>
      <c r="D121" s="19" t="s">
        <v>25</v>
      </c>
      <c r="E121" s="145" t="s">
        <v>3367</v>
      </c>
      <c r="F121" s="200">
        <v>44866</v>
      </c>
    </row>
    <row r="122" spans="1:6" s="39" customFormat="1" ht="12.9" customHeight="1" x14ac:dyDescent="0.3">
      <c r="A122" s="239">
        <v>27079</v>
      </c>
      <c r="B122" s="104" t="s">
        <v>4325</v>
      </c>
      <c r="C122" s="232">
        <v>699057000486</v>
      </c>
      <c r="D122" s="19" t="s">
        <v>1620</v>
      </c>
      <c r="E122" s="145" t="s">
        <v>3367</v>
      </c>
      <c r="F122" s="200">
        <v>44866</v>
      </c>
    </row>
    <row r="123" spans="1:6" s="39" customFormat="1" ht="12.9" customHeight="1" x14ac:dyDescent="0.3">
      <c r="A123" s="239">
        <v>27245</v>
      </c>
      <c r="B123" s="104" t="s">
        <v>4326</v>
      </c>
      <c r="C123" s="232">
        <v>628504954102</v>
      </c>
      <c r="D123" s="19" t="s">
        <v>25</v>
      </c>
      <c r="E123" s="145" t="s">
        <v>3367</v>
      </c>
      <c r="F123" s="200">
        <v>44866</v>
      </c>
    </row>
    <row r="124" spans="1:6" s="39" customFormat="1" ht="12.9" customHeight="1" x14ac:dyDescent="0.3">
      <c r="A124" s="239">
        <v>27246</v>
      </c>
      <c r="B124" s="104" t="s">
        <v>4327</v>
      </c>
      <c r="C124" s="232">
        <v>628250784503</v>
      </c>
      <c r="D124" s="19" t="s">
        <v>25</v>
      </c>
      <c r="E124" s="145" t="s">
        <v>3367</v>
      </c>
      <c r="F124" s="200">
        <v>44866</v>
      </c>
    </row>
    <row r="125" spans="1:6" s="39" customFormat="1" ht="12.9" customHeight="1" x14ac:dyDescent="0.3">
      <c r="A125" s="239">
        <v>27493</v>
      </c>
      <c r="B125" s="104" t="s">
        <v>4328</v>
      </c>
      <c r="C125" s="232">
        <v>852500002080</v>
      </c>
      <c r="D125" s="19" t="s">
        <v>98</v>
      </c>
      <c r="E125" s="145" t="s">
        <v>3367</v>
      </c>
      <c r="F125" s="200">
        <v>44866</v>
      </c>
    </row>
    <row r="126" spans="1:6" s="39" customFormat="1" ht="12.9" customHeight="1" x14ac:dyDescent="0.3">
      <c r="A126" s="239">
        <v>27501</v>
      </c>
      <c r="B126" s="104" t="s">
        <v>4329</v>
      </c>
      <c r="C126" s="232">
        <v>672975229870</v>
      </c>
      <c r="D126" s="19" t="s">
        <v>98</v>
      </c>
      <c r="E126" s="145" t="s">
        <v>3367</v>
      </c>
      <c r="F126" s="200">
        <v>44866</v>
      </c>
    </row>
    <row r="127" spans="1:6" s="39" customFormat="1" ht="12.9" customHeight="1" x14ac:dyDescent="0.3">
      <c r="A127" s="239">
        <v>467019</v>
      </c>
      <c r="B127" s="104" t="s">
        <v>188</v>
      </c>
      <c r="C127" s="232">
        <v>625640135532</v>
      </c>
      <c r="D127" s="19" t="s">
        <v>25</v>
      </c>
      <c r="E127" s="145" t="s">
        <v>3367</v>
      </c>
      <c r="F127" s="200">
        <v>44866</v>
      </c>
    </row>
    <row r="128" spans="1:6" s="39" customFormat="1" ht="12.9" customHeight="1" x14ac:dyDescent="0.3">
      <c r="A128" s="239">
        <v>467167</v>
      </c>
      <c r="B128" s="104" t="s">
        <v>4330</v>
      </c>
      <c r="C128" s="232">
        <v>627843405122</v>
      </c>
      <c r="D128" s="19" t="s">
        <v>25</v>
      </c>
      <c r="E128" s="145" t="s">
        <v>3367</v>
      </c>
      <c r="F128" s="200">
        <v>44866</v>
      </c>
    </row>
    <row r="129" spans="1:6" s="39" customFormat="1" ht="12.9" customHeight="1" x14ac:dyDescent="0.3">
      <c r="A129" s="239">
        <v>479030</v>
      </c>
      <c r="B129" s="104" t="s">
        <v>241</v>
      </c>
      <c r="C129" s="232">
        <v>856217000193</v>
      </c>
      <c r="D129" s="19" t="s">
        <v>25</v>
      </c>
      <c r="E129" s="145" t="s">
        <v>3367</v>
      </c>
      <c r="F129" s="200">
        <v>44866</v>
      </c>
    </row>
    <row r="130" spans="1:6" s="39" customFormat="1" ht="12.9" customHeight="1" x14ac:dyDescent="0.3">
      <c r="A130" s="239">
        <v>560060</v>
      </c>
      <c r="B130" s="104" t="s">
        <v>3051</v>
      </c>
      <c r="C130" s="232" t="str">
        <f>"628451269144"</f>
        <v>628451269144</v>
      </c>
      <c r="D130" s="19" t="s">
        <v>25</v>
      </c>
      <c r="E130" s="145" t="s">
        <v>3367</v>
      </c>
      <c r="F130" s="200">
        <v>44846</v>
      </c>
    </row>
    <row r="131" spans="1:6" s="39" customFormat="1" ht="12.9" customHeight="1" x14ac:dyDescent="0.3">
      <c r="A131" s="239">
        <f>23054</f>
        <v>23054</v>
      </c>
      <c r="B131" s="104" t="s">
        <v>4294</v>
      </c>
      <c r="C131" s="232" t="str">
        <f>"7350064999752"</f>
        <v>7350064999752</v>
      </c>
      <c r="D131" s="19" t="s">
        <v>25</v>
      </c>
      <c r="E131" s="145" t="s">
        <v>3367</v>
      </c>
      <c r="F131" s="200">
        <v>44859</v>
      </c>
    </row>
    <row r="132" spans="1:6" s="39" customFormat="1" ht="12.9" customHeight="1" x14ac:dyDescent="0.3">
      <c r="A132" s="239">
        <v>48819</v>
      </c>
      <c r="B132" s="104" t="s">
        <v>3936</v>
      </c>
      <c r="C132" s="232">
        <v>819761002402</v>
      </c>
      <c r="D132" s="19" t="s">
        <v>202</v>
      </c>
      <c r="E132" s="145" t="s">
        <v>3367</v>
      </c>
      <c r="F132" s="200">
        <v>44859</v>
      </c>
    </row>
    <row r="133" spans="1:6" s="39" customFormat="1" ht="12.9" customHeight="1" x14ac:dyDescent="0.3">
      <c r="A133" s="239">
        <v>18485</v>
      </c>
      <c r="B133" s="104" t="s">
        <v>4293</v>
      </c>
      <c r="C133" s="232">
        <v>628176930060</v>
      </c>
      <c r="D133" s="19" t="s">
        <v>202</v>
      </c>
      <c r="E133" s="145" t="s">
        <v>3367</v>
      </c>
      <c r="F133" s="200">
        <v>44859</v>
      </c>
    </row>
    <row r="134" spans="1:6" s="39" customFormat="1" ht="12.9" customHeight="1" x14ac:dyDescent="0.3">
      <c r="A134" s="240">
        <v>14867</v>
      </c>
      <c r="B134" s="104" t="s">
        <v>4292</v>
      </c>
      <c r="C134" s="232">
        <v>663935100452</v>
      </c>
      <c r="D134" s="19" t="s">
        <v>202</v>
      </c>
      <c r="E134" s="145" t="s">
        <v>3367</v>
      </c>
      <c r="F134" s="200">
        <v>44846</v>
      </c>
    </row>
    <row r="135" spans="1:6" s="39" customFormat="1" ht="12.9" customHeight="1" x14ac:dyDescent="0.3">
      <c r="A135" s="239">
        <v>159202</v>
      </c>
      <c r="B135" s="104" t="s">
        <v>4291</v>
      </c>
      <c r="C135" s="232" t="str">
        <f>"5011348023038"</f>
        <v>5011348023038</v>
      </c>
      <c r="D135" s="19" t="s">
        <v>60</v>
      </c>
      <c r="E135" s="145" t="s">
        <v>3367</v>
      </c>
      <c r="F135" s="200">
        <v>44852</v>
      </c>
    </row>
    <row r="136" spans="1:6" s="39" customFormat="1" ht="12.9" customHeight="1" x14ac:dyDescent="0.3">
      <c r="A136" s="239" t="s">
        <v>4287</v>
      </c>
      <c r="B136" s="104" t="s">
        <v>4285</v>
      </c>
      <c r="C136" s="232">
        <v>606655000251</v>
      </c>
      <c r="D136" s="19" t="s">
        <v>202</v>
      </c>
      <c r="E136" s="145" t="s">
        <v>3367</v>
      </c>
      <c r="F136" s="200">
        <v>44831</v>
      </c>
    </row>
    <row r="137" spans="1:6" s="39" customFormat="1" ht="13.7" customHeight="1" x14ac:dyDescent="0.3">
      <c r="A137" s="239" t="s">
        <v>4288</v>
      </c>
      <c r="B137" s="104" t="s">
        <v>4286</v>
      </c>
      <c r="C137" s="232">
        <v>819457000347</v>
      </c>
      <c r="D137" s="19" t="s">
        <v>202</v>
      </c>
      <c r="E137" s="145" t="s">
        <v>3367</v>
      </c>
      <c r="F137" s="200">
        <v>44831</v>
      </c>
    </row>
    <row r="138" spans="1:6" s="39" customFormat="1" ht="13.7" customHeight="1" x14ac:dyDescent="0.3">
      <c r="A138" s="239" t="s">
        <v>4289</v>
      </c>
      <c r="B138" s="104" t="s">
        <v>4282</v>
      </c>
      <c r="C138" s="232" t="s">
        <v>4283</v>
      </c>
      <c r="D138" s="19" t="s">
        <v>202</v>
      </c>
      <c r="E138" s="145" t="s">
        <v>3367</v>
      </c>
      <c r="F138" s="200">
        <v>44831</v>
      </c>
    </row>
    <row r="139" spans="1:6" s="39" customFormat="1" ht="13.7" customHeight="1" x14ac:dyDescent="0.3">
      <c r="A139" s="239" t="s">
        <v>4290</v>
      </c>
      <c r="B139" s="104" t="s">
        <v>4284</v>
      </c>
      <c r="C139" s="232">
        <v>8003545000421</v>
      </c>
      <c r="D139" s="19" t="s">
        <v>202</v>
      </c>
      <c r="E139" s="145" t="s">
        <v>3367</v>
      </c>
      <c r="F139" s="200">
        <v>44831</v>
      </c>
    </row>
    <row r="140" spans="1:6" s="39" customFormat="1" ht="13.7" customHeight="1" x14ac:dyDescent="0.3">
      <c r="A140" s="154" t="str">
        <f>"0028088"</f>
        <v>0028088</v>
      </c>
      <c r="B140" s="104" t="s">
        <v>4260</v>
      </c>
      <c r="C140" s="232" t="str">
        <f>"186360051385"</f>
        <v>186360051385</v>
      </c>
      <c r="D140" s="19" t="s">
        <v>25</v>
      </c>
      <c r="E140" s="145" t="s">
        <v>3367</v>
      </c>
      <c r="F140" s="200">
        <v>44846</v>
      </c>
    </row>
    <row r="141" spans="1:6" s="39" customFormat="1" x14ac:dyDescent="0.3">
      <c r="A141" s="154" t="str">
        <f>"0013571"</f>
        <v>0013571</v>
      </c>
      <c r="B141" s="104" t="s">
        <v>3857</v>
      </c>
      <c r="C141" s="232" t="str">
        <f>"186360001380"</f>
        <v>186360001380</v>
      </c>
      <c r="D141" s="19" t="s">
        <v>25</v>
      </c>
      <c r="E141" s="145" t="s">
        <v>3367</v>
      </c>
      <c r="F141" s="200">
        <v>44831</v>
      </c>
    </row>
    <row r="142" spans="1:6" s="39" customFormat="1" x14ac:dyDescent="0.3">
      <c r="A142" s="154" t="str">
        <f>"0026686"</f>
        <v>0026686</v>
      </c>
      <c r="B142" s="104" t="s">
        <v>4281</v>
      </c>
      <c r="C142" s="232" t="str">
        <f>"627843535577"</f>
        <v>627843535577</v>
      </c>
      <c r="D142" s="19" t="s">
        <v>25</v>
      </c>
      <c r="E142" s="145" t="s">
        <v>3367</v>
      </c>
      <c r="F142" s="200">
        <v>44831</v>
      </c>
    </row>
    <row r="143" spans="1:6" s="39" customFormat="1" ht="15.05" customHeight="1" x14ac:dyDescent="0.3">
      <c r="A143" s="174" t="str">
        <f>"0028089"</f>
        <v>0028089</v>
      </c>
      <c r="B143" s="172" t="s">
        <v>4280</v>
      </c>
      <c r="C143" s="159" t="str">
        <f>"628669093784"</f>
        <v>628669093784</v>
      </c>
      <c r="D143" s="157" t="s">
        <v>25</v>
      </c>
      <c r="E143" s="184" t="s">
        <v>4009</v>
      </c>
      <c r="F143" s="200">
        <v>44828</v>
      </c>
    </row>
    <row r="144" spans="1:6" s="39" customFormat="1" x14ac:dyDescent="0.3">
      <c r="A144" s="154" t="str">
        <f>"0021508"</f>
        <v>0021508</v>
      </c>
      <c r="B144" s="104" t="s">
        <v>4279</v>
      </c>
      <c r="C144" s="232" t="str">
        <f>"856217000360"</f>
        <v>856217000360</v>
      </c>
      <c r="D144" s="19" t="s">
        <v>124</v>
      </c>
      <c r="E144" s="145" t="s">
        <v>3367</v>
      </c>
      <c r="F144" s="200">
        <v>44828</v>
      </c>
    </row>
    <row r="145" spans="1:6" s="39" customFormat="1" x14ac:dyDescent="0.3">
      <c r="A145" s="154" t="str">
        <f>"0026613"</f>
        <v>0026613</v>
      </c>
      <c r="B145" s="104" t="s">
        <v>4101</v>
      </c>
      <c r="C145" s="232" t="str">
        <f>"620707101963"</f>
        <v>620707101963</v>
      </c>
      <c r="D145" s="19" t="s">
        <v>25</v>
      </c>
      <c r="E145" s="145" t="s">
        <v>3367</v>
      </c>
      <c r="F145" s="200">
        <v>44846</v>
      </c>
    </row>
    <row r="146" spans="1:6" s="39" customFormat="1" ht="13.7" customHeight="1" x14ac:dyDescent="0.3">
      <c r="A146" s="154" t="str">
        <f>"0119735"</f>
        <v>0119735</v>
      </c>
      <c r="B146" s="104" t="s">
        <v>4278</v>
      </c>
      <c r="C146" s="232" t="str">
        <f>"75001612"</f>
        <v>75001612</v>
      </c>
      <c r="D146" s="19" t="s">
        <v>37</v>
      </c>
      <c r="E146" s="145" t="s">
        <v>3367</v>
      </c>
      <c r="F146" s="200">
        <v>44846</v>
      </c>
    </row>
    <row r="147" spans="1:6" s="39" customFormat="1" x14ac:dyDescent="0.3">
      <c r="A147" s="154" t="str">
        <f>"0015697"</f>
        <v>0015697</v>
      </c>
      <c r="B147" s="104" t="s">
        <v>4277</v>
      </c>
      <c r="C147" s="232" t="str">
        <f>"628055459354"</f>
        <v>628055459354</v>
      </c>
      <c r="D147" s="19" t="s">
        <v>25</v>
      </c>
      <c r="E147" s="145" t="s">
        <v>3367</v>
      </c>
      <c r="F147" s="200">
        <v>44824</v>
      </c>
    </row>
    <row r="148" spans="1:6" s="39" customFormat="1" ht="13.7" customHeight="1" x14ac:dyDescent="0.3">
      <c r="A148" s="174" t="str">
        <f>"0519264"</f>
        <v>0519264</v>
      </c>
      <c r="B148" s="172" t="s">
        <v>4273</v>
      </c>
      <c r="C148" s="159" t="str">
        <f>"627843321729"</f>
        <v>627843321729</v>
      </c>
      <c r="D148" s="157" t="s">
        <v>25</v>
      </c>
      <c r="E148" s="184" t="s">
        <v>4274</v>
      </c>
      <c r="F148" s="200">
        <v>44838</v>
      </c>
    </row>
    <row r="149" spans="1:6" s="39" customFormat="1" ht="13.7" customHeight="1" x14ac:dyDescent="0.3">
      <c r="A149" s="174" t="str">
        <f>"0569822"</f>
        <v>0569822</v>
      </c>
      <c r="B149" s="172" t="s">
        <v>4275</v>
      </c>
      <c r="C149" s="159" t="str">
        <f>"628110917058"</f>
        <v>628110917058</v>
      </c>
      <c r="D149" s="157" t="s">
        <v>25</v>
      </c>
      <c r="E149" s="184" t="s">
        <v>4276</v>
      </c>
      <c r="F149" s="200">
        <v>44838</v>
      </c>
    </row>
    <row r="150" spans="1:6" s="39" customFormat="1" x14ac:dyDescent="0.3">
      <c r="A150" s="154" t="str">
        <f>"0010030"</f>
        <v>0010030</v>
      </c>
      <c r="B150" s="104" t="s">
        <v>4270</v>
      </c>
      <c r="C150" s="232" t="str">
        <f>"628250784190"</f>
        <v>628250784190</v>
      </c>
      <c r="D150" s="19" t="s">
        <v>25</v>
      </c>
      <c r="E150" s="145" t="s">
        <v>3367</v>
      </c>
      <c r="F150" s="200">
        <v>44824</v>
      </c>
    </row>
    <row r="151" spans="1:6" s="39" customFormat="1" x14ac:dyDescent="0.3">
      <c r="A151" s="154" t="str">
        <f>"0021197"</f>
        <v>0021197</v>
      </c>
      <c r="B151" s="104" t="s">
        <v>4271</v>
      </c>
      <c r="C151" s="232" t="str">
        <f>"628250784442"</f>
        <v>628250784442</v>
      </c>
      <c r="D151" s="19" t="s">
        <v>25</v>
      </c>
      <c r="E151" s="145" t="s">
        <v>3367</v>
      </c>
      <c r="F151" s="200">
        <v>44824</v>
      </c>
    </row>
    <row r="152" spans="1:6" s="39" customFormat="1" x14ac:dyDescent="0.3">
      <c r="A152" s="154" t="str">
        <f>"0016223"</f>
        <v>0016223</v>
      </c>
      <c r="B152" s="104" t="s">
        <v>3259</v>
      </c>
      <c r="C152" s="232" t="str">
        <f>"628250784336"</f>
        <v>628250784336</v>
      </c>
      <c r="D152" s="19" t="s">
        <v>1620</v>
      </c>
      <c r="E152" s="145" t="s">
        <v>3367</v>
      </c>
      <c r="F152" s="200">
        <v>44838</v>
      </c>
    </row>
    <row r="153" spans="1:6" s="39" customFormat="1" x14ac:dyDescent="0.3">
      <c r="A153" s="154" t="str">
        <f>"0676825"</f>
        <v>0676825</v>
      </c>
      <c r="B153" s="104" t="s">
        <v>4272</v>
      </c>
      <c r="C153" s="232" t="str">
        <f>"628250784183"</f>
        <v>628250784183</v>
      </c>
      <c r="D153" s="19" t="s">
        <v>25</v>
      </c>
      <c r="E153" s="145" t="s">
        <v>3367</v>
      </c>
      <c r="F153" s="200">
        <v>44838</v>
      </c>
    </row>
    <row r="154" spans="1:6" s="39" customFormat="1" x14ac:dyDescent="0.3">
      <c r="A154" s="154" t="str">
        <f>"0025690"</f>
        <v>0025690</v>
      </c>
      <c r="B154" s="104" t="s">
        <v>3861</v>
      </c>
      <c r="C154" s="232">
        <v>186360051361</v>
      </c>
      <c r="D154" s="19" t="s">
        <v>25</v>
      </c>
      <c r="E154" s="145" t="s">
        <v>3367</v>
      </c>
      <c r="F154" s="200">
        <v>44838</v>
      </c>
    </row>
    <row r="155" spans="1:6" s="39" customFormat="1" x14ac:dyDescent="0.3">
      <c r="A155" s="154" t="str">
        <f>"0450288"</f>
        <v>0450288</v>
      </c>
      <c r="B155" s="104" t="s">
        <v>4269</v>
      </c>
      <c r="C155" s="232">
        <v>186360000130</v>
      </c>
      <c r="D155" s="19" t="s">
        <v>25</v>
      </c>
      <c r="E155" s="145" t="s">
        <v>3367</v>
      </c>
      <c r="F155" s="200">
        <v>44838</v>
      </c>
    </row>
    <row r="156" spans="1:6" s="39" customFormat="1" x14ac:dyDescent="0.3">
      <c r="A156" s="154" t="str">
        <f>"0026920"</f>
        <v>0026920</v>
      </c>
      <c r="B156" s="104" t="s">
        <v>4268</v>
      </c>
      <c r="C156" s="232" t="str">
        <f>"793888596511"</f>
        <v>793888596511</v>
      </c>
      <c r="D156" s="19" t="s">
        <v>25</v>
      </c>
      <c r="E156" s="145" t="s">
        <v>3367</v>
      </c>
      <c r="F156" s="200">
        <v>44838</v>
      </c>
    </row>
    <row r="157" spans="1:6" s="39" customFormat="1" x14ac:dyDescent="0.3">
      <c r="A157" s="154" t="str">
        <f>"0027376"</f>
        <v>0027376</v>
      </c>
      <c r="B157" s="104" t="s">
        <v>4267</v>
      </c>
      <c r="C157" s="232" t="str">
        <f>"628028020086"</f>
        <v>628028020086</v>
      </c>
      <c r="D157" s="19" t="s">
        <v>25</v>
      </c>
      <c r="E157" s="145" t="s">
        <v>4113</v>
      </c>
      <c r="F157" s="200">
        <v>44819</v>
      </c>
    </row>
    <row r="158" spans="1:6" s="39" customFormat="1" ht="13.7" customHeight="1" x14ac:dyDescent="0.3">
      <c r="A158" s="174" t="str">
        <f>"0128009"</f>
        <v>0128009</v>
      </c>
      <c r="B158" s="172" t="s">
        <v>4244</v>
      </c>
      <c r="C158" s="159" t="str">
        <f>"628451939504"</f>
        <v>628451939504</v>
      </c>
      <c r="D158" s="157" t="s">
        <v>25</v>
      </c>
      <c r="E158" s="184" t="s">
        <v>4266</v>
      </c>
      <c r="F158" s="200">
        <v>44838</v>
      </c>
    </row>
    <row r="159" spans="1:6" s="39" customFormat="1" x14ac:dyDescent="0.3">
      <c r="A159" s="154" t="str">
        <f>"0458653"</f>
        <v>0458653</v>
      </c>
      <c r="B159" s="104" t="s">
        <v>4265</v>
      </c>
      <c r="C159" s="232" t="str">
        <f>"679546002733"</f>
        <v>679546002733</v>
      </c>
      <c r="D159" s="19" t="s">
        <v>25</v>
      </c>
      <c r="E159" s="145" t="s">
        <v>3367</v>
      </c>
      <c r="F159" s="200">
        <v>44838</v>
      </c>
    </row>
    <row r="160" spans="1:6" s="39" customFormat="1" x14ac:dyDescent="0.3">
      <c r="A160" s="174">
        <v>27854</v>
      </c>
      <c r="B160" s="172" t="s">
        <v>2796</v>
      </c>
      <c r="C160" s="159">
        <v>8002062013303</v>
      </c>
      <c r="D160" s="157" t="s">
        <v>496</v>
      </c>
      <c r="E160" s="184" t="s">
        <v>4264</v>
      </c>
      <c r="F160" s="200">
        <v>44838</v>
      </c>
    </row>
    <row r="161" spans="1:6" s="39" customFormat="1" x14ac:dyDescent="0.3">
      <c r="A161" s="174">
        <v>285585</v>
      </c>
      <c r="B161" s="172" t="s">
        <v>3527</v>
      </c>
      <c r="C161" s="159">
        <v>8002062000037</v>
      </c>
      <c r="D161" s="157" t="s">
        <v>202</v>
      </c>
      <c r="E161" s="184" t="s">
        <v>4263</v>
      </c>
      <c r="F161" s="200">
        <v>44838</v>
      </c>
    </row>
    <row r="162" spans="1:6" s="39" customFormat="1" x14ac:dyDescent="0.3">
      <c r="A162" s="154" t="str">
        <f>"0025693"</f>
        <v>0025693</v>
      </c>
      <c r="B162" s="104" t="s">
        <v>4259</v>
      </c>
      <c r="C162" s="232" t="str">
        <f>"186360051811"</f>
        <v>186360051811</v>
      </c>
      <c r="D162" s="19" t="s">
        <v>25</v>
      </c>
      <c r="E162" s="145" t="s">
        <v>3367</v>
      </c>
      <c r="F162" s="200">
        <v>44814</v>
      </c>
    </row>
    <row r="163" spans="1:6" s="39" customFormat="1" x14ac:dyDescent="0.3">
      <c r="A163" s="154" t="str">
        <f>"0025689"</f>
        <v>0025689</v>
      </c>
      <c r="B163" s="104" t="s">
        <v>4258</v>
      </c>
      <c r="C163" s="232" t="str">
        <f>"186360051538"</f>
        <v>186360051538</v>
      </c>
      <c r="D163" s="19" t="s">
        <v>25</v>
      </c>
      <c r="E163" s="145" t="s">
        <v>4262</v>
      </c>
      <c r="F163" s="200">
        <v>44817</v>
      </c>
    </row>
    <row r="164" spans="1:6" s="39" customFormat="1" x14ac:dyDescent="0.3">
      <c r="A164" s="154" t="str">
        <f>"0028088"</f>
        <v>0028088</v>
      </c>
      <c r="B164" s="104" t="s">
        <v>4260</v>
      </c>
      <c r="C164" s="232" t="str">
        <f>"186360051385"</f>
        <v>186360051385</v>
      </c>
      <c r="D164" s="19" t="s">
        <v>25</v>
      </c>
      <c r="E164" s="145" t="s">
        <v>4262</v>
      </c>
      <c r="F164" s="200">
        <v>44817</v>
      </c>
    </row>
    <row r="165" spans="1:6" s="39" customFormat="1" x14ac:dyDescent="0.3">
      <c r="A165" s="154" t="str">
        <f>"0028527"</f>
        <v>0028527</v>
      </c>
      <c r="B165" s="104" t="s">
        <v>4261</v>
      </c>
      <c r="C165" s="232" t="str">
        <f>"186360051835"</f>
        <v>186360051835</v>
      </c>
      <c r="D165" s="19" t="s">
        <v>25</v>
      </c>
      <c r="E165" s="145" t="s">
        <v>4262</v>
      </c>
      <c r="F165" s="200">
        <v>44817</v>
      </c>
    </row>
    <row r="166" spans="1:6" s="39" customFormat="1" x14ac:dyDescent="0.3">
      <c r="A166" s="154" t="str">
        <f>"0024630"</f>
        <v>0024630</v>
      </c>
      <c r="B166" s="104" t="s">
        <v>4257</v>
      </c>
      <c r="C166" s="232" t="str">
        <f>"625640151433"</f>
        <v>625640151433</v>
      </c>
      <c r="D166" s="19" t="s">
        <v>25</v>
      </c>
      <c r="E166" s="145" t="s">
        <v>3367</v>
      </c>
      <c r="F166" s="200">
        <v>44831</v>
      </c>
    </row>
    <row r="167" spans="1:6" s="39" customFormat="1" x14ac:dyDescent="0.3">
      <c r="A167" s="154" t="str">
        <f>"0015994"</f>
        <v>0015994</v>
      </c>
      <c r="B167" s="104" t="s">
        <v>3014</v>
      </c>
      <c r="C167" s="232" t="str">
        <f>"628669091940"</f>
        <v>628669091940</v>
      </c>
      <c r="D167" s="19" t="s">
        <v>25</v>
      </c>
      <c r="E167" s="145" t="s">
        <v>3367</v>
      </c>
      <c r="F167" s="200">
        <v>44831</v>
      </c>
    </row>
    <row r="168" spans="1:6" s="39" customFormat="1" x14ac:dyDescent="0.3">
      <c r="A168" s="154" t="str">
        <f>"0019657"</f>
        <v>0019657</v>
      </c>
      <c r="B168" s="104" t="s">
        <v>3550</v>
      </c>
      <c r="C168" s="232" t="str">
        <f>"051497225506"</f>
        <v>051497225506</v>
      </c>
      <c r="D168" s="19" t="s">
        <v>1620</v>
      </c>
      <c r="E168" s="145" t="s">
        <v>3367</v>
      </c>
      <c r="F168" s="200">
        <v>44813</v>
      </c>
    </row>
    <row r="169" spans="1:6" s="39" customFormat="1" x14ac:dyDescent="0.3">
      <c r="A169" s="154" t="str">
        <f>"0019659"</f>
        <v>0019659</v>
      </c>
      <c r="B169" s="104" t="s">
        <v>4256</v>
      </c>
      <c r="C169" s="232" t="str">
        <f>"051497232368"</f>
        <v>051497232368</v>
      </c>
      <c r="D169" s="19" t="s">
        <v>1620</v>
      </c>
      <c r="E169" s="145" t="s">
        <v>3367</v>
      </c>
      <c r="F169" s="200">
        <v>44813</v>
      </c>
    </row>
    <row r="170" spans="1:6" s="39" customFormat="1" x14ac:dyDescent="0.3">
      <c r="A170" s="154" t="str">
        <f>"0010229"</f>
        <v>0010229</v>
      </c>
      <c r="B170" s="104" t="s">
        <v>4254</v>
      </c>
      <c r="C170" s="232" t="str">
        <f>"620707855101"</f>
        <v>620707855101</v>
      </c>
      <c r="D170" s="19" t="s">
        <v>37</v>
      </c>
      <c r="E170" s="145" t="s">
        <v>4255</v>
      </c>
      <c r="F170" s="200">
        <v>44817</v>
      </c>
    </row>
    <row r="171" spans="1:6" s="39" customFormat="1" x14ac:dyDescent="0.3">
      <c r="A171" s="154" t="str">
        <f>"0026075"</f>
        <v>0026075</v>
      </c>
      <c r="B171" s="104" t="s">
        <v>4251</v>
      </c>
      <c r="C171" s="232" t="str">
        <f>"674687100072"</f>
        <v>674687100072</v>
      </c>
      <c r="D171" s="19" t="s">
        <v>25</v>
      </c>
      <c r="E171" s="145" t="s">
        <v>4253</v>
      </c>
      <c r="F171" s="200">
        <v>44811</v>
      </c>
    </row>
    <row r="172" spans="1:6" s="39" customFormat="1" x14ac:dyDescent="0.3">
      <c r="A172" s="154" t="str">
        <f>"0026076"</f>
        <v>0026076</v>
      </c>
      <c r="B172" s="104" t="s">
        <v>4252</v>
      </c>
      <c r="C172" s="232" t="str">
        <f>"674687100065"</f>
        <v>674687100065</v>
      </c>
      <c r="D172" s="19" t="s">
        <v>25</v>
      </c>
      <c r="E172" s="145" t="s">
        <v>4253</v>
      </c>
      <c r="F172" s="200">
        <v>44811</v>
      </c>
    </row>
    <row r="173" spans="1:6" s="39" customFormat="1" x14ac:dyDescent="0.3">
      <c r="A173" s="154">
        <v>457523</v>
      </c>
      <c r="B173" s="104" t="s">
        <v>4250</v>
      </c>
      <c r="C173" s="232">
        <v>779327194425</v>
      </c>
      <c r="D173" s="19" t="s">
        <v>202</v>
      </c>
      <c r="E173" s="145" t="s">
        <v>3367</v>
      </c>
      <c r="F173" s="200">
        <v>44817</v>
      </c>
    </row>
    <row r="174" spans="1:6" s="39" customFormat="1" x14ac:dyDescent="0.3">
      <c r="A174" s="154">
        <v>552034</v>
      </c>
      <c r="B174" s="104" t="s">
        <v>4249</v>
      </c>
      <c r="C174" s="232">
        <v>699187000608</v>
      </c>
      <c r="D174" s="19" t="s">
        <v>202</v>
      </c>
      <c r="E174" s="145" t="s">
        <v>3367</v>
      </c>
      <c r="F174" s="200">
        <v>44803</v>
      </c>
    </row>
    <row r="175" spans="1:6" s="39" customFormat="1" x14ac:dyDescent="0.3">
      <c r="A175" s="154" t="str">
        <f>"0028355"</f>
        <v>0028355</v>
      </c>
      <c r="B175" s="104" t="s">
        <v>4247</v>
      </c>
      <c r="C175" s="232" t="str">
        <f>"856217000384"</f>
        <v>856217000384</v>
      </c>
      <c r="D175" s="19" t="s">
        <v>98</v>
      </c>
      <c r="E175" s="145" t="s">
        <v>3367</v>
      </c>
      <c r="F175" s="200">
        <v>44817</v>
      </c>
    </row>
    <row r="176" spans="1:6" s="39" customFormat="1" x14ac:dyDescent="0.3">
      <c r="A176" s="154" t="str">
        <f>"0028358"</f>
        <v>0028358</v>
      </c>
      <c r="B176" s="104" t="s">
        <v>4248</v>
      </c>
      <c r="C176" s="232" t="str">
        <f>"856217000391"</f>
        <v>856217000391</v>
      </c>
      <c r="D176" s="19" t="s">
        <v>98</v>
      </c>
      <c r="E176" s="145" t="s">
        <v>3367</v>
      </c>
      <c r="F176" s="200">
        <v>44803</v>
      </c>
    </row>
    <row r="177" spans="1:6" s="39" customFormat="1" x14ac:dyDescent="0.3">
      <c r="A177" s="154" t="str">
        <f>"0015887"</f>
        <v>0015887</v>
      </c>
      <c r="B177" s="104" t="s">
        <v>4246</v>
      </c>
      <c r="C177" s="232" t="str">
        <f>"839561000019"</f>
        <v>839561000019</v>
      </c>
      <c r="D177" s="19" t="s">
        <v>25</v>
      </c>
      <c r="E177" s="145" t="s">
        <v>3367</v>
      </c>
      <c r="F177" s="200">
        <v>44817</v>
      </c>
    </row>
    <row r="178" spans="1:6" s="39" customFormat="1" x14ac:dyDescent="0.3">
      <c r="A178" s="154" t="str">
        <f>"0128009"</f>
        <v>0128009</v>
      </c>
      <c r="B178" s="104" t="s">
        <v>4244</v>
      </c>
      <c r="C178" s="232" t="str">
        <f>"628451939504"</f>
        <v>628451939504</v>
      </c>
      <c r="D178" s="19" t="s">
        <v>25</v>
      </c>
      <c r="E178" s="145" t="s">
        <v>4245</v>
      </c>
      <c r="F178" s="200">
        <v>44798</v>
      </c>
    </row>
    <row r="179" spans="1:6" s="39" customFormat="1" x14ac:dyDescent="0.3">
      <c r="A179" s="154" t="str">
        <f>"0648956"</f>
        <v>0648956</v>
      </c>
      <c r="B179" s="104" t="s">
        <v>4243</v>
      </c>
      <c r="C179" s="232" t="str">
        <f>"628669090967"</f>
        <v>628669090967</v>
      </c>
      <c r="D179" s="19" t="s">
        <v>25</v>
      </c>
      <c r="E179" s="145" t="s">
        <v>3367</v>
      </c>
      <c r="F179" s="200">
        <v>44811</v>
      </c>
    </row>
    <row r="180" spans="1:6" s="39" customFormat="1" x14ac:dyDescent="0.3">
      <c r="A180" s="154" t="str">
        <f>"0025045"</f>
        <v>0025045</v>
      </c>
      <c r="B180" s="104" t="s">
        <v>4241</v>
      </c>
      <c r="C180" s="232" t="str">
        <f>"687181947203"</f>
        <v>687181947203</v>
      </c>
      <c r="D180" s="19" t="s">
        <v>25</v>
      </c>
      <c r="E180" s="145" t="s">
        <v>4113</v>
      </c>
      <c r="F180" s="200">
        <v>44792</v>
      </c>
    </row>
    <row r="181" spans="1:6" s="39" customFormat="1" x14ac:dyDescent="0.3">
      <c r="A181" s="154" t="str">
        <f>"0027610"</f>
        <v>0027610</v>
      </c>
      <c r="B181" s="104" t="s">
        <v>4242</v>
      </c>
      <c r="C181" s="232" t="str">
        <f>"628110037244"</f>
        <v>628110037244</v>
      </c>
      <c r="D181" s="19" t="s">
        <v>25</v>
      </c>
      <c r="E181" s="145" t="s">
        <v>4113</v>
      </c>
      <c r="F181" s="200">
        <v>44792</v>
      </c>
    </row>
    <row r="182" spans="1:6" s="39" customFormat="1" ht="13.3" customHeight="1" x14ac:dyDescent="0.3">
      <c r="A182" s="110">
        <v>564674</v>
      </c>
      <c r="B182" s="172" t="s">
        <v>3354</v>
      </c>
      <c r="C182" s="117">
        <v>8002062008132</v>
      </c>
      <c r="D182" s="157" t="s">
        <v>202</v>
      </c>
      <c r="E182" s="172" t="s">
        <v>4240</v>
      </c>
      <c r="F182" s="178">
        <v>44811</v>
      </c>
    </row>
    <row r="183" spans="1:6" s="39" customFormat="1" x14ac:dyDescent="0.3">
      <c r="A183" s="154" t="str">
        <f>"0025003"</f>
        <v>0025003</v>
      </c>
      <c r="B183" s="104" t="s">
        <v>4239</v>
      </c>
      <c r="C183" s="232" t="str">
        <f>"628055585213"</f>
        <v>628055585213</v>
      </c>
      <c r="D183" s="19" t="s">
        <v>25</v>
      </c>
      <c r="E183" s="145" t="s">
        <v>3367</v>
      </c>
      <c r="F183" s="200">
        <v>44783</v>
      </c>
    </row>
    <row r="184" spans="1:6" x14ac:dyDescent="0.3">
      <c r="A184" s="155" t="str">
        <f>"0026883"</f>
        <v>0026883</v>
      </c>
      <c r="B184" s="170" t="s">
        <v>4237</v>
      </c>
      <c r="C184" s="232" t="str">
        <f>"628110104021"</f>
        <v>628110104021</v>
      </c>
      <c r="D184" s="19" t="s">
        <v>25</v>
      </c>
      <c r="E184" s="172" t="s">
        <v>4238</v>
      </c>
      <c r="F184" s="49">
        <v>44783</v>
      </c>
    </row>
    <row r="185" spans="1:6" s="39" customFormat="1" x14ac:dyDescent="0.3">
      <c r="A185" s="154">
        <v>545780</v>
      </c>
      <c r="B185" s="104" t="s">
        <v>3041</v>
      </c>
      <c r="C185" s="232" t="s">
        <v>4236</v>
      </c>
      <c r="D185" s="19" t="s">
        <v>202</v>
      </c>
      <c r="E185" s="145" t="s">
        <v>3367</v>
      </c>
      <c r="F185" s="200">
        <v>44796</v>
      </c>
    </row>
    <row r="186" spans="1:6" s="39" customFormat="1" ht="13.7" customHeight="1" x14ac:dyDescent="0.3">
      <c r="A186" s="154" t="str">
        <f>"0025695"</f>
        <v>0025695</v>
      </c>
      <c r="B186" s="104" t="s">
        <v>4235</v>
      </c>
      <c r="C186" s="232" t="str">
        <f>"621433068049"</f>
        <v>621433068049</v>
      </c>
      <c r="D186" s="19" t="s">
        <v>25</v>
      </c>
      <c r="E186" s="145" t="s">
        <v>3367</v>
      </c>
      <c r="F186" s="200">
        <v>44803</v>
      </c>
    </row>
    <row r="187" spans="1:6" s="39" customFormat="1" ht="13.7" customHeight="1" x14ac:dyDescent="0.3">
      <c r="A187" s="154">
        <v>219790</v>
      </c>
      <c r="B187" s="104" t="s">
        <v>4234</v>
      </c>
      <c r="C187" s="232">
        <v>8018510000184</v>
      </c>
      <c r="D187" s="19" t="s">
        <v>202</v>
      </c>
      <c r="E187" s="145" t="s">
        <v>3367</v>
      </c>
      <c r="F187" s="200">
        <v>44782</v>
      </c>
    </row>
    <row r="188" spans="1:6" s="39" customFormat="1" ht="13.7" customHeight="1" x14ac:dyDescent="0.3">
      <c r="A188" s="154" t="str">
        <f>"0470757"</f>
        <v>0470757</v>
      </c>
      <c r="B188" s="104" t="s">
        <v>178</v>
      </c>
      <c r="C188" s="232" t="str">
        <f>"5011885002190"</f>
        <v>5011885002190</v>
      </c>
      <c r="D188" s="19" t="s">
        <v>48</v>
      </c>
      <c r="E188" s="145" t="s">
        <v>3367</v>
      </c>
      <c r="F188" s="200">
        <v>44789</v>
      </c>
    </row>
    <row r="189" spans="1:6" s="39" customFormat="1" ht="13.7" customHeight="1" x14ac:dyDescent="0.3">
      <c r="A189" s="154" t="str">
        <f>"0639559"</f>
        <v>0639559</v>
      </c>
      <c r="B189" s="104" t="s">
        <v>3629</v>
      </c>
      <c r="C189" s="232" t="str">
        <f>"628113006285"</f>
        <v>628113006285</v>
      </c>
      <c r="D189" s="19" t="s">
        <v>48</v>
      </c>
      <c r="E189" s="145" t="s">
        <v>3367</v>
      </c>
      <c r="F189" s="200">
        <v>44789</v>
      </c>
    </row>
    <row r="190" spans="1:6" s="39" customFormat="1" ht="13.7" customHeight="1" x14ac:dyDescent="0.3">
      <c r="A190" s="154" t="str">
        <f>"0020140"</f>
        <v>0020140</v>
      </c>
      <c r="B190" s="104" t="s">
        <v>4233</v>
      </c>
      <c r="C190" s="232" t="str">
        <f>"812339000947"</f>
        <v>812339000947</v>
      </c>
      <c r="D190" s="19" t="s">
        <v>25</v>
      </c>
      <c r="E190" s="145" t="s">
        <v>3367</v>
      </c>
      <c r="F190" s="200">
        <v>44789</v>
      </c>
    </row>
    <row r="191" spans="1:6" s="39" customFormat="1" ht="13.7" customHeight="1" x14ac:dyDescent="0.3">
      <c r="A191" s="154" t="str">
        <f>"0019987"</f>
        <v>0019987</v>
      </c>
      <c r="B191" s="104" t="s">
        <v>4232</v>
      </c>
      <c r="C191" s="232" t="str">
        <f>"186360001762"</f>
        <v>186360001762</v>
      </c>
      <c r="D191" s="19" t="s">
        <v>25</v>
      </c>
      <c r="E191" s="145" t="s">
        <v>3367</v>
      </c>
      <c r="F191" s="200">
        <v>44789</v>
      </c>
    </row>
    <row r="192" spans="1:6" s="39" customFormat="1" ht="13.7" customHeight="1" x14ac:dyDescent="0.3">
      <c r="A192" s="154" t="str">
        <f>"0016770"</f>
        <v>0016770</v>
      </c>
      <c r="B192" s="104" t="s">
        <v>4231</v>
      </c>
      <c r="C192" s="232" t="str">
        <f>"805057000498"</f>
        <v>805057000498</v>
      </c>
      <c r="D192" s="19" t="s">
        <v>25</v>
      </c>
      <c r="E192" s="145" t="s">
        <v>3367</v>
      </c>
      <c r="F192" s="200">
        <v>44803</v>
      </c>
    </row>
    <row r="193" spans="1:6" s="39" customFormat="1" ht="13.7" customHeight="1" x14ac:dyDescent="0.3">
      <c r="A193" s="154">
        <v>20001</v>
      </c>
      <c r="B193" s="104" t="s">
        <v>4228</v>
      </c>
      <c r="C193" s="232" t="s">
        <v>4229</v>
      </c>
      <c r="D193" s="19" t="s">
        <v>496</v>
      </c>
      <c r="E193" s="145" t="s">
        <v>3367</v>
      </c>
      <c r="F193" s="200">
        <v>44768</v>
      </c>
    </row>
    <row r="194" spans="1:6" s="39" customFormat="1" ht="13.7" customHeight="1" x14ac:dyDescent="0.3">
      <c r="A194" s="154">
        <v>11193</v>
      </c>
      <c r="B194" s="104" t="s">
        <v>4226</v>
      </c>
      <c r="C194" s="232">
        <v>891540001172</v>
      </c>
      <c r="D194" s="19" t="s">
        <v>202</v>
      </c>
      <c r="E194" s="145" t="s">
        <v>3367</v>
      </c>
      <c r="F194" s="200">
        <v>44768</v>
      </c>
    </row>
    <row r="195" spans="1:6" s="39" customFormat="1" ht="13.7" customHeight="1" x14ac:dyDescent="0.3">
      <c r="A195" s="154">
        <v>534255</v>
      </c>
      <c r="B195" s="104" t="s">
        <v>4166</v>
      </c>
      <c r="C195" s="232" t="s">
        <v>4169</v>
      </c>
      <c r="D195" s="19" t="s">
        <v>202</v>
      </c>
      <c r="E195" s="145" t="s">
        <v>3367</v>
      </c>
      <c r="F195" s="200">
        <v>44768</v>
      </c>
    </row>
    <row r="196" spans="1:6" s="39" customFormat="1" ht="13.7" customHeight="1" x14ac:dyDescent="0.3">
      <c r="A196" s="154">
        <v>226555</v>
      </c>
      <c r="B196" s="104" t="s">
        <v>4227</v>
      </c>
      <c r="C196" s="232" t="s">
        <v>4230</v>
      </c>
      <c r="D196" s="19" t="s">
        <v>202</v>
      </c>
      <c r="E196" s="145" t="s">
        <v>3367</v>
      </c>
      <c r="F196" s="200">
        <v>44768</v>
      </c>
    </row>
    <row r="197" spans="1:6" s="39" customFormat="1" ht="13.7" customHeight="1" x14ac:dyDescent="0.3">
      <c r="A197" s="154" t="str">
        <f>"0017694"</f>
        <v>0017694</v>
      </c>
      <c r="B197" s="104" t="s">
        <v>4225</v>
      </c>
      <c r="C197" s="232" t="str">
        <f>"874702000206"</f>
        <v>874702000206</v>
      </c>
      <c r="D197" s="19" t="s">
        <v>37</v>
      </c>
      <c r="E197" s="145" t="s">
        <v>3367</v>
      </c>
      <c r="F197" s="200">
        <v>44768</v>
      </c>
    </row>
    <row r="198" spans="1:6" s="39" customFormat="1" ht="13.7" customHeight="1" x14ac:dyDescent="0.3">
      <c r="A198" s="154" t="str">
        <f>"0019662"</f>
        <v>0019662</v>
      </c>
      <c r="B198" s="104" t="s">
        <v>4223</v>
      </c>
      <c r="C198" s="232" t="str">
        <f>"870766000893"</f>
        <v>870766000893</v>
      </c>
      <c r="D198" s="19" t="s">
        <v>25</v>
      </c>
      <c r="E198" s="145" t="s">
        <v>3367</v>
      </c>
      <c r="F198" s="200">
        <v>44782</v>
      </c>
    </row>
    <row r="199" spans="1:6" s="39" customFormat="1" ht="13.7" customHeight="1" x14ac:dyDescent="0.3">
      <c r="A199" s="154" t="str">
        <f>"0024618"</f>
        <v>0024618</v>
      </c>
      <c r="B199" s="104" t="s">
        <v>4222</v>
      </c>
      <c r="C199" s="232" t="str">
        <f>"628504954096"</f>
        <v>628504954096</v>
      </c>
      <c r="D199" s="19" t="s">
        <v>25</v>
      </c>
      <c r="E199" s="145" t="s">
        <v>3367</v>
      </c>
      <c r="F199" s="200">
        <v>44782</v>
      </c>
    </row>
    <row r="200" spans="1:6" ht="27.95" x14ac:dyDescent="0.3">
      <c r="A200" s="154" t="str">
        <f>"0073791"</f>
        <v>0073791</v>
      </c>
      <c r="B200" s="170" t="s">
        <v>4220</v>
      </c>
      <c r="C200" s="232" t="str">
        <f>"5740700997754"</f>
        <v>5740700997754</v>
      </c>
      <c r="D200" s="170" t="s">
        <v>29</v>
      </c>
      <c r="E200" s="48" t="s">
        <v>4221</v>
      </c>
      <c r="F200" s="49">
        <v>44782</v>
      </c>
    </row>
    <row r="201" spans="1:6" s="39" customFormat="1" ht="13.7" customHeight="1" x14ac:dyDescent="0.3">
      <c r="A201" s="154" t="str">
        <f>"0011693"</f>
        <v>0011693</v>
      </c>
      <c r="B201" s="104" t="s">
        <v>4219</v>
      </c>
      <c r="C201" s="232" t="str">
        <f>"063657039731"</f>
        <v>063657039731</v>
      </c>
      <c r="D201" s="19" t="s">
        <v>25</v>
      </c>
      <c r="E201" s="145" t="s">
        <v>3367</v>
      </c>
      <c r="F201" s="200">
        <v>44782</v>
      </c>
    </row>
    <row r="202" spans="1:6" s="39" customFormat="1" ht="13.7" customHeight="1" x14ac:dyDescent="0.3">
      <c r="A202" s="154" t="str">
        <f>"0574475"</f>
        <v>0574475</v>
      </c>
      <c r="B202" s="104" t="s">
        <v>3870</v>
      </c>
      <c r="C202" s="232" t="str">
        <f>"628055980056"</f>
        <v>628055980056</v>
      </c>
      <c r="D202" s="19" t="s">
        <v>25</v>
      </c>
      <c r="E202" s="145" t="s">
        <v>3367</v>
      </c>
      <c r="F202" s="200">
        <v>44782</v>
      </c>
    </row>
    <row r="203" spans="1:6" ht="27.95" x14ac:dyDescent="0.3">
      <c r="A203" s="155">
        <v>18016</v>
      </c>
      <c r="B203" s="170" t="s">
        <v>4209</v>
      </c>
      <c r="C203" s="232">
        <v>628176778044</v>
      </c>
      <c r="D203" s="19" t="s">
        <v>25</v>
      </c>
      <c r="E203" s="48" t="s">
        <v>4217</v>
      </c>
      <c r="F203" s="49">
        <v>44782</v>
      </c>
    </row>
    <row r="204" spans="1:6" ht="27.55" customHeight="1" x14ac:dyDescent="0.3">
      <c r="A204" s="155">
        <v>26801</v>
      </c>
      <c r="B204" s="170" t="s">
        <v>4210</v>
      </c>
      <c r="C204" s="232">
        <v>628176778198</v>
      </c>
      <c r="D204" s="19" t="s">
        <v>25</v>
      </c>
      <c r="E204" s="48" t="s">
        <v>4217</v>
      </c>
      <c r="F204" s="49">
        <v>44782</v>
      </c>
    </row>
    <row r="205" spans="1:6" ht="27.55" customHeight="1" x14ac:dyDescent="0.3">
      <c r="A205" s="155">
        <v>459537</v>
      </c>
      <c r="B205" s="170" t="s">
        <v>4211</v>
      </c>
      <c r="C205" s="232">
        <v>627843384465</v>
      </c>
      <c r="D205" s="19" t="s">
        <v>25</v>
      </c>
      <c r="E205" s="48" t="s">
        <v>4217</v>
      </c>
      <c r="F205" s="49">
        <v>44782</v>
      </c>
    </row>
    <row r="206" spans="1:6" ht="27.55" customHeight="1" x14ac:dyDescent="0.3">
      <c r="A206" s="155">
        <v>485425</v>
      </c>
      <c r="B206" s="170" t="s">
        <v>4212</v>
      </c>
      <c r="C206" s="232">
        <v>627843546276</v>
      </c>
      <c r="D206" s="19" t="s">
        <v>25</v>
      </c>
      <c r="E206" s="48" t="s">
        <v>4217</v>
      </c>
      <c r="F206" s="49">
        <v>44782</v>
      </c>
    </row>
    <row r="207" spans="1:6" ht="27.95" x14ac:dyDescent="0.3">
      <c r="A207" s="155">
        <v>538538</v>
      </c>
      <c r="B207" s="170" t="s">
        <v>4213</v>
      </c>
      <c r="C207" s="232">
        <v>627843546283</v>
      </c>
      <c r="D207" s="19" t="s">
        <v>25</v>
      </c>
      <c r="E207" s="48" t="s">
        <v>4217</v>
      </c>
      <c r="F207" s="49">
        <v>44782</v>
      </c>
    </row>
    <row r="208" spans="1:6" x14ac:dyDescent="0.3">
      <c r="A208" s="155">
        <v>20659</v>
      </c>
      <c r="B208" s="170" t="s">
        <v>4214</v>
      </c>
      <c r="C208" s="232">
        <v>51497226527</v>
      </c>
      <c r="D208" s="19" t="s">
        <v>25</v>
      </c>
      <c r="E208" s="172" t="s">
        <v>4218</v>
      </c>
      <c r="F208" s="49">
        <v>44782</v>
      </c>
    </row>
    <row r="209" spans="1:6" x14ac:dyDescent="0.3">
      <c r="A209" s="155">
        <v>20660</v>
      </c>
      <c r="B209" s="170" t="s">
        <v>4215</v>
      </c>
      <c r="C209" s="232">
        <v>51497226534</v>
      </c>
      <c r="D209" s="19" t="s">
        <v>25</v>
      </c>
      <c r="E209" s="172" t="s">
        <v>4218</v>
      </c>
      <c r="F209" s="49">
        <v>44782</v>
      </c>
    </row>
    <row r="210" spans="1:6" x14ac:dyDescent="0.3">
      <c r="A210" s="155">
        <v>20956</v>
      </c>
      <c r="B210" s="170" t="s">
        <v>4216</v>
      </c>
      <c r="C210" s="232">
        <v>51497226510</v>
      </c>
      <c r="D210" s="19" t="s">
        <v>25</v>
      </c>
      <c r="E210" s="172" t="s">
        <v>4218</v>
      </c>
      <c r="F210" s="49">
        <v>44782</v>
      </c>
    </row>
    <row r="211" spans="1:6" s="39" customFormat="1" ht="13.7" customHeight="1" x14ac:dyDescent="0.3">
      <c r="A211" s="154" t="str">
        <f>"0025679"</f>
        <v>0025679</v>
      </c>
      <c r="B211" s="104" t="s">
        <v>4208</v>
      </c>
      <c r="C211" s="232" t="str">
        <f>"812339000992"</f>
        <v>812339000992</v>
      </c>
      <c r="D211" s="19" t="s">
        <v>25</v>
      </c>
      <c r="E211" s="145" t="s">
        <v>3367</v>
      </c>
      <c r="F211" s="200">
        <v>44782</v>
      </c>
    </row>
    <row r="212" spans="1:6" s="39" customFormat="1" ht="13.7" customHeight="1" x14ac:dyDescent="0.3">
      <c r="A212" s="154" t="str">
        <f>"0247478"</f>
        <v>0247478</v>
      </c>
      <c r="B212" s="104" t="s">
        <v>2953</v>
      </c>
      <c r="C212" s="232" t="str">
        <f>"4004866222268"</f>
        <v>4004866222268</v>
      </c>
      <c r="D212" s="19" t="s">
        <v>48</v>
      </c>
      <c r="E212" s="145" t="s">
        <v>3367</v>
      </c>
      <c r="F212" s="200">
        <v>44782</v>
      </c>
    </row>
    <row r="213" spans="1:6" s="39" customFormat="1" ht="13.7" customHeight="1" x14ac:dyDescent="0.3">
      <c r="A213" s="154" t="str">
        <f>"0019658"</f>
        <v>0019658</v>
      </c>
      <c r="B213" s="104" t="s">
        <v>3122</v>
      </c>
      <c r="C213" s="232" t="str">
        <f>"051497235567"</f>
        <v>051497235567</v>
      </c>
      <c r="D213" s="19" t="s">
        <v>555</v>
      </c>
      <c r="E213" s="145" t="s">
        <v>3367</v>
      </c>
      <c r="F213" s="200">
        <v>44782</v>
      </c>
    </row>
    <row r="214" spans="1:6" s="39" customFormat="1" ht="13.7" customHeight="1" x14ac:dyDescent="0.3">
      <c r="A214" s="154">
        <v>14714</v>
      </c>
      <c r="B214" s="104" t="s">
        <v>4200</v>
      </c>
      <c r="C214" s="232" t="s">
        <v>4202</v>
      </c>
      <c r="D214" s="19" t="s">
        <v>202</v>
      </c>
      <c r="E214" s="145" t="s">
        <v>3367</v>
      </c>
      <c r="F214" s="200">
        <v>44761</v>
      </c>
    </row>
    <row r="215" spans="1:6" s="39" customFormat="1" ht="13.7" customHeight="1" x14ac:dyDescent="0.3">
      <c r="A215" s="154">
        <v>12063</v>
      </c>
      <c r="B215" s="104" t="s">
        <v>4201</v>
      </c>
      <c r="C215" s="232">
        <v>8436539765516</v>
      </c>
      <c r="D215" s="19" t="s">
        <v>202</v>
      </c>
      <c r="E215" s="145" t="s">
        <v>3367</v>
      </c>
      <c r="F215" s="200">
        <v>44761</v>
      </c>
    </row>
    <row r="216" spans="1:6" s="39" customFormat="1" ht="13.7" customHeight="1" x14ac:dyDescent="0.3">
      <c r="A216" s="154">
        <v>635920</v>
      </c>
      <c r="B216" s="104" t="s">
        <v>4204</v>
      </c>
      <c r="C216" s="232" t="s">
        <v>4203</v>
      </c>
      <c r="D216" s="19" t="s">
        <v>202</v>
      </c>
      <c r="E216" s="145" t="s">
        <v>3367</v>
      </c>
      <c r="F216" s="200">
        <v>44776</v>
      </c>
    </row>
    <row r="217" spans="1:6" s="39" customFormat="1" ht="13.7" customHeight="1" x14ac:dyDescent="0.3">
      <c r="A217" s="154">
        <v>665430</v>
      </c>
      <c r="B217" s="104" t="s">
        <v>4205</v>
      </c>
      <c r="C217" s="232">
        <v>603568011046</v>
      </c>
      <c r="D217" s="19" t="s">
        <v>202</v>
      </c>
      <c r="E217" s="145" t="s">
        <v>3367</v>
      </c>
      <c r="F217" s="200">
        <v>44776</v>
      </c>
    </row>
    <row r="218" spans="1:6" s="39" customFormat="1" ht="13.7" customHeight="1" x14ac:dyDescent="0.3">
      <c r="A218" s="154">
        <v>488593</v>
      </c>
      <c r="B218" s="104" t="s">
        <v>4206</v>
      </c>
      <c r="C218" s="232">
        <v>4002569230511</v>
      </c>
      <c r="D218" s="19" t="s">
        <v>202</v>
      </c>
      <c r="E218" s="145" t="s">
        <v>3367</v>
      </c>
      <c r="F218" s="200">
        <v>44776</v>
      </c>
    </row>
    <row r="219" spans="1:6" s="39" customFormat="1" ht="13.7" customHeight="1" x14ac:dyDescent="0.3">
      <c r="A219" s="154">
        <v>538926</v>
      </c>
      <c r="B219" s="104" t="s">
        <v>4207</v>
      </c>
      <c r="C219" s="232">
        <v>4002569164090</v>
      </c>
      <c r="D219" s="19" t="s">
        <v>202</v>
      </c>
      <c r="E219" s="145" t="s">
        <v>3367</v>
      </c>
      <c r="F219" s="200">
        <v>44776</v>
      </c>
    </row>
    <row r="220" spans="1:6" s="39" customFormat="1" ht="13.7" customHeight="1" x14ac:dyDescent="0.3">
      <c r="A220" s="229" t="str">
        <f>"0015414"</f>
        <v>0015414</v>
      </c>
      <c r="B220" s="86" t="s">
        <v>3075</v>
      </c>
      <c r="C220" s="232" t="str">
        <f>"621433081048"</f>
        <v>621433081048</v>
      </c>
      <c r="D220" s="19" t="s">
        <v>25</v>
      </c>
      <c r="E220" s="145" t="s">
        <v>3367</v>
      </c>
      <c r="F220" s="200">
        <v>44776</v>
      </c>
    </row>
    <row r="221" spans="1:6" s="39" customFormat="1" ht="13.7" customHeight="1" x14ac:dyDescent="0.3">
      <c r="A221" s="229" t="str">
        <f>"0020431"</f>
        <v>0020431</v>
      </c>
      <c r="B221" s="86" t="s">
        <v>4199</v>
      </c>
      <c r="C221" s="232" t="str">
        <f>"628669093289"</f>
        <v>628669093289</v>
      </c>
      <c r="D221" s="19" t="s">
        <v>25</v>
      </c>
      <c r="E221" s="145" t="s">
        <v>3367</v>
      </c>
      <c r="F221" s="200">
        <v>44776</v>
      </c>
    </row>
    <row r="222" spans="1:6" s="39" customFormat="1" ht="13.7" customHeight="1" x14ac:dyDescent="0.3">
      <c r="A222" s="229" t="str">
        <f>"0494880"</f>
        <v>0494880</v>
      </c>
      <c r="B222" s="86" t="s">
        <v>4198</v>
      </c>
      <c r="C222" s="232" t="str">
        <f>"628055427032"</f>
        <v>628055427032</v>
      </c>
      <c r="D222" s="19" t="s">
        <v>29</v>
      </c>
      <c r="E222" s="145" t="s">
        <v>3367</v>
      </c>
      <c r="F222" s="200">
        <v>44776</v>
      </c>
    </row>
    <row r="223" spans="1:6" s="39" customFormat="1" ht="14.1" customHeight="1" x14ac:dyDescent="0.3">
      <c r="A223" s="229" t="str">
        <f>"0302851"</f>
        <v>0302851</v>
      </c>
      <c r="B223" s="86" t="s">
        <v>4197</v>
      </c>
      <c r="C223" s="232" t="str">
        <f>"620114601100"</f>
        <v>620114601100</v>
      </c>
      <c r="D223" s="19" t="s">
        <v>106</v>
      </c>
      <c r="E223" s="145" t="s">
        <v>3367</v>
      </c>
      <c r="F223" s="200">
        <v>44776</v>
      </c>
    </row>
    <row r="224" spans="1:6" s="39" customFormat="1" ht="14.1" customHeight="1" x14ac:dyDescent="0.3">
      <c r="A224" s="229">
        <v>533026</v>
      </c>
      <c r="B224" s="86" t="s">
        <v>2796</v>
      </c>
      <c r="C224" s="232">
        <v>8002062012825</v>
      </c>
      <c r="D224" s="19" t="s">
        <v>202</v>
      </c>
      <c r="E224" s="172" t="s">
        <v>4196</v>
      </c>
      <c r="F224" s="200">
        <v>44789</v>
      </c>
    </row>
    <row r="225" spans="1:6" s="39" customFormat="1" ht="27" customHeight="1" x14ac:dyDescent="0.3">
      <c r="A225" s="195">
        <v>470096</v>
      </c>
      <c r="B225" s="235" t="s">
        <v>4194</v>
      </c>
      <c r="C225" s="232">
        <v>3391180015579</v>
      </c>
      <c r="D225" s="19" t="s">
        <v>202</v>
      </c>
      <c r="E225" s="184" t="s">
        <v>4195</v>
      </c>
      <c r="F225" s="200">
        <v>44776</v>
      </c>
    </row>
    <row r="226" spans="1:6" s="39" customFormat="1" ht="14.1" customHeight="1" x14ac:dyDescent="0.3">
      <c r="A226" s="229" t="str">
        <f>"0514919"</f>
        <v>0514919</v>
      </c>
      <c r="B226" s="86" t="s">
        <v>4193</v>
      </c>
      <c r="C226" s="232" t="str">
        <f>"040232534836"</f>
        <v>040232534836</v>
      </c>
      <c r="D226" s="19" t="s">
        <v>25</v>
      </c>
      <c r="E226" s="145" t="s">
        <v>3367</v>
      </c>
      <c r="F226" s="200">
        <v>44768</v>
      </c>
    </row>
    <row r="227" spans="1:6" s="39" customFormat="1" ht="14.1" customHeight="1" x14ac:dyDescent="0.3">
      <c r="A227" s="229" t="str">
        <f>"0543009"</f>
        <v>0543009</v>
      </c>
      <c r="B227" s="86" t="s">
        <v>2564</v>
      </c>
      <c r="C227" s="232" t="str">
        <f>"040232534812"</f>
        <v>040232534812</v>
      </c>
      <c r="D227" s="19" t="s">
        <v>25</v>
      </c>
      <c r="E227" s="145" t="s">
        <v>3367</v>
      </c>
      <c r="F227" s="200">
        <v>44768</v>
      </c>
    </row>
    <row r="228" spans="1:6" s="39" customFormat="1" ht="14.1" customHeight="1" x14ac:dyDescent="0.3">
      <c r="A228" s="229" t="str">
        <f>"0017783"</f>
        <v>0017783</v>
      </c>
      <c r="B228" s="86" t="s">
        <v>4192</v>
      </c>
      <c r="C228" s="232" t="str">
        <f>"812339000893"</f>
        <v>812339000893</v>
      </c>
      <c r="D228" s="19" t="s">
        <v>25</v>
      </c>
      <c r="E228" s="145" t="s">
        <v>3367</v>
      </c>
      <c r="F228" s="200">
        <v>44754</v>
      </c>
    </row>
    <row r="229" spans="1:6" s="39" customFormat="1" ht="14.1" customHeight="1" x14ac:dyDescent="0.3">
      <c r="A229" s="229" t="str">
        <f>"0018013"</f>
        <v>0018013</v>
      </c>
      <c r="B229" s="86" t="s">
        <v>4191</v>
      </c>
      <c r="C229" s="232" t="str">
        <f>"628451660583"</f>
        <v>628451660583</v>
      </c>
      <c r="D229" s="19" t="s">
        <v>25</v>
      </c>
      <c r="E229" s="145" t="s">
        <v>3367</v>
      </c>
      <c r="F229" s="200">
        <v>44740</v>
      </c>
    </row>
    <row r="230" spans="1:6" s="39" customFormat="1" ht="14.1" customHeight="1" x14ac:dyDescent="0.3">
      <c r="A230" s="229" t="str">
        <f>"0141242"</f>
        <v>0141242</v>
      </c>
      <c r="B230" s="86" t="s">
        <v>4190</v>
      </c>
      <c r="C230" s="232" t="str">
        <f>"5411616127046"</f>
        <v>5411616127046</v>
      </c>
      <c r="D230" s="19" t="s">
        <v>48</v>
      </c>
      <c r="E230" s="145" t="s">
        <v>3367</v>
      </c>
      <c r="F230" s="200">
        <v>44754</v>
      </c>
    </row>
    <row r="231" spans="1:6" s="39" customFormat="1" ht="27.95" x14ac:dyDescent="0.3">
      <c r="A231" s="237" t="str">
        <f>"0541375"</f>
        <v>0541375</v>
      </c>
      <c r="B231" s="238" t="s">
        <v>4188</v>
      </c>
      <c r="C231" s="236" t="str">
        <f>"4002103003014"</f>
        <v>4002103003014</v>
      </c>
      <c r="D231" s="157" t="s">
        <v>48</v>
      </c>
      <c r="E231" s="172" t="s">
        <v>4189</v>
      </c>
      <c r="F231" s="204">
        <v>44754</v>
      </c>
    </row>
    <row r="232" spans="1:6" s="39" customFormat="1" ht="14.1" customHeight="1" x14ac:dyDescent="0.3">
      <c r="A232" s="229" t="str">
        <f>"0900621"</f>
        <v>0900621</v>
      </c>
      <c r="B232" s="86" t="s">
        <v>2476</v>
      </c>
      <c r="C232" s="232" t="str">
        <f>"056327072534"</f>
        <v>056327072534</v>
      </c>
      <c r="D232" s="19" t="s">
        <v>106</v>
      </c>
      <c r="E232" s="145" t="s">
        <v>4224</v>
      </c>
      <c r="F232" s="200">
        <v>44754</v>
      </c>
    </row>
    <row r="233" spans="1:6" s="39" customFormat="1" ht="41.95" x14ac:dyDescent="0.3">
      <c r="A233" s="195" t="str">
        <f>"0478412"</f>
        <v>0478412</v>
      </c>
      <c r="B233" s="235" t="s">
        <v>4186</v>
      </c>
      <c r="C233" s="228" t="str">
        <f>"056327593930"</f>
        <v>056327593930</v>
      </c>
      <c r="D233" s="19" t="s">
        <v>25</v>
      </c>
      <c r="E233" s="184" t="s">
        <v>4187</v>
      </c>
      <c r="F233" s="200">
        <v>44782</v>
      </c>
    </row>
    <row r="234" spans="1:6" s="39" customFormat="1" ht="14.1" customHeight="1" x14ac:dyDescent="0.3">
      <c r="A234" s="229" t="str">
        <f>"0021649"</f>
        <v>0021649</v>
      </c>
      <c r="B234" s="86" t="s">
        <v>4185</v>
      </c>
      <c r="C234" s="232" t="str">
        <f>"627987546071"</f>
        <v>627987546071</v>
      </c>
      <c r="D234" s="19" t="s">
        <v>25</v>
      </c>
      <c r="E234" s="145" t="s">
        <v>3367</v>
      </c>
      <c r="F234" s="200">
        <v>44754</v>
      </c>
    </row>
    <row r="235" spans="1:6" s="39" customFormat="1" x14ac:dyDescent="0.3">
      <c r="A235" s="195" t="str">
        <f>"0010046"</f>
        <v>0010046</v>
      </c>
      <c r="B235" s="235" t="s">
        <v>4183</v>
      </c>
      <c r="C235" s="228" t="str">
        <f>"040232269936"</f>
        <v>040232269936</v>
      </c>
      <c r="D235" s="19" t="s">
        <v>25</v>
      </c>
      <c r="E235" s="184" t="s">
        <v>4184</v>
      </c>
      <c r="F235" s="200">
        <v>44733</v>
      </c>
    </row>
    <row r="236" spans="1:6" s="39" customFormat="1" ht="14.1" customHeight="1" x14ac:dyDescent="0.3">
      <c r="A236" s="229">
        <v>453506</v>
      </c>
      <c r="B236" s="86" t="s">
        <v>4182</v>
      </c>
      <c r="C236" s="232">
        <v>699187004965</v>
      </c>
      <c r="D236" s="19" t="s">
        <v>202</v>
      </c>
      <c r="E236" s="145" t="s">
        <v>3367</v>
      </c>
      <c r="F236" s="200">
        <v>44747</v>
      </c>
    </row>
    <row r="237" spans="1:6" s="39" customFormat="1" ht="14.1" customHeight="1" x14ac:dyDescent="0.3">
      <c r="A237" s="229">
        <v>18483</v>
      </c>
      <c r="B237" s="86" t="s">
        <v>4181</v>
      </c>
      <c r="C237" s="232" t="s">
        <v>4180</v>
      </c>
      <c r="D237" s="19" t="s">
        <v>202</v>
      </c>
      <c r="E237" s="145" t="s">
        <v>3367</v>
      </c>
      <c r="F237" s="200">
        <v>44747</v>
      </c>
    </row>
    <row r="238" spans="1:6" s="39" customFormat="1" ht="14.1" customHeight="1" x14ac:dyDescent="0.3">
      <c r="A238" s="229" t="str">
        <f>"0012041"</f>
        <v>0012041</v>
      </c>
      <c r="B238" s="86" t="s">
        <v>4178</v>
      </c>
      <c r="C238" s="228" t="str">
        <f>"0702915000617"</f>
        <v>0702915000617</v>
      </c>
      <c r="D238" s="19" t="s">
        <v>25</v>
      </c>
      <c r="E238" s="145" t="s">
        <v>3367</v>
      </c>
      <c r="F238" s="200">
        <v>44747</v>
      </c>
    </row>
    <row r="239" spans="1:6" s="39" customFormat="1" ht="14.1" customHeight="1" x14ac:dyDescent="0.3">
      <c r="A239" s="229" t="str">
        <f>"0012604"</f>
        <v>0012604</v>
      </c>
      <c r="B239" s="86" t="s">
        <v>4179</v>
      </c>
      <c r="C239" s="228" t="str">
        <f>"0702915000648"</f>
        <v>0702915000648</v>
      </c>
      <c r="D239" s="19" t="s">
        <v>98</v>
      </c>
      <c r="E239" s="145" t="s">
        <v>3367</v>
      </c>
      <c r="F239" s="200">
        <v>44747</v>
      </c>
    </row>
    <row r="240" spans="1:6" s="39" customFormat="1" ht="14.1" customHeight="1" x14ac:dyDescent="0.3">
      <c r="A240" s="229" t="str">
        <f>"0022221"</f>
        <v>0022221</v>
      </c>
      <c r="B240" s="86" t="s">
        <v>3747</v>
      </c>
      <c r="C240" s="228" t="str">
        <f>"672975229771"</f>
        <v>672975229771</v>
      </c>
      <c r="D240" s="19" t="s">
        <v>25</v>
      </c>
      <c r="E240" s="145" t="s">
        <v>3367</v>
      </c>
      <c r="F240" s="200">
        <v>44728</v>
      </c>
    </row>
    <row r="241" spans="1:6" s="39" customFormat="1" ht="14.1" customHeight="1" x14ac:dyDescent="0.3">
      <c r="A241" s="229" t="str">
        <f>"0903070"</f>
        <v>0903070</v>
      </c>
      <c r="B241" s="86" t="s">
        <v>4177</v>
      </c>
      <c r="C241" s="228" t="str">
        <f>"5411718912021"</f>
        <v>5411718912021</v>
      </c>
      <c r="D241" s="19" t="s">
        <v>60</v>
      </c>
      <c r="E241" s="145" t="s">
        <v>3367</v>
      </c>
      <c r="F241" s="200">
        <v>44747</v>
      </c>
    </row>
    <row r="242" spans="1:6" s="39" customFormat="1" ht="14.1" customHeight="1" x14ac:dyDescent="0.3">
      <c r="A242" s="229" t="str">
        <f>"0015117"</f>
        <v>0015117</v>
      </c>
      <c r="B242" s="86" t="s">
        <v>3931</v>
      </c>
      <c r="C242" s="228" t="str">
        <f>"628669091964"</f>
        <v>628669091964</v>
      </c>
      <c r="D242" s="19" t="s">
        <v>98</v>
      </c>
      <c r="E242" s="145" t="s">
        <v>3367</v>
      </c>
      <c r="F242" s="200">
        <v>44740</v>
      </c>
    </row>
    <row r="243" spans="1:6" s="39" customFormat="1" ht="30.65" customHeight="1" x14ac:dyDescent="0.3">
      <c r="A243" s="195">
        <v>508721</v>
      </c>
      <c r="B243" s="235" t="s">
        <v>4176</v>
      </c>
      <c r="C243" s="228">
        <v>620654133109</v>
      </c>
      <c r="D243" s="19" t="s">
        <v>202</v>
      </c>
      <c r="E243" s="184" t="s">
        <v>4175</v>
      </c>
      <c r="F243" s="200">
        <v>44740</v>
      </c>
    </row>
    <row r="244" spans="1:6" s="39" customFormat="1" ht="14.1" customHeight="1" x14ac:dyDescent="0.3">
      <c r="A244" s="229">
        <v>483537</v>
      </c>
      <c r="B244" s="86" t="s">
        <v>4165</v>
      </c>
      <c r="C244" s="228">
        <v>874537000341</v>
      </c>
      <c r="D244" s="19" t="s">
        <v>202</v>
      </c>
      <c r="E244" s="145" t="s">
        <v>3367</v>
      </c>
      <c r="F244" s="200">
        <v>44740</v>
      </c>
    </row>
    <row r="245" spans="1:6" s="39" customFormat="1" ht="14.1" customHeight="1" x14ac:dyDescent="0.3">
      <c r="A245" s="229">
        <v>534255</v>
      </c>
      <c r="B245" s="86" t="s">
        <v>4166</v>
      </c>
      <c r="C245" s="232" t="s">
        <v>4169</v>
      </c>
      <c r="D245" s="19" t="s">
        <v>202</v>
      </c>
      <c r="E245" s="145" t="s">
        <v>4172</v>
      </c>
      <c r="F245" s="200">
        <v>44719</v>
      </c>
    </row>
    <row r="246" spans="1:6" s="39" customFormat="1" ht="14.1" customHeight="1" x14ac:dyDescent="0.3">
      <c r="A246" s="229">
        <v>534230</v>
      </c>
      <c r="B246" s="86" t="s">
        <v>4167</v>
      </c>
      <c r="C246" s="232" t="s">
        <v>4170</v>
      </c>
      <c r="D246" s="19" t="s">
        <v>202</v>
      </c>
      <c r="E246" s="145" t="s">
        <v>4173</v>
      </c>
      <c r="F246" s="200">
        <v>44719</v>
      </c>
    </row>
    <row r="247" spans="1:6" s="39" customFormat="1" ht="14.1" customHeight="1" x14ac:dyDescent="0.3">
      <c r="A247" s="229">
        <v>45641</v>
      </c>
      <c r="B247" s="86" t="s">
        <v>4168</v>
      </c>
      <c r="C247" s="233" t="s">
        <v>4171</v>
      </c>
      <c r="D247" s="19" t="s">
        <v>202</v>
      </c>
      <c r="E247" s="145" t="s">
        <v>4174</v>
      </c>
      <c r="F247" s="200">
        <v>44719</v>
      </c>
    </row>
    <row r="248" spans="1:6" s="39" customFormat="1" ht="14.1" customHeight="1" x14ac:dyDescent="0.3">
      <c r="A248" s="229" t="str">
        <f>"0015983"</f>
        <v>0015983</v>
      </c>
      <c r="B248" s="86" t="s">
        <v>4162</v>
      </c>
      <c r="C248" s="228" t="str">
        <f>"628347500030"</f>
        <v>628347500030</v>
      </c>
      <c r="D248" s="19" t="s">
        <v>25</v>
      </c>
      <c r="E248" s="145" t="s">
        <v>3367</v>
      </c>
      <c r="F248" s="200">
        <v>44740</v>
      </c>
    </row>
    <row r="249" spans="1:6" s="39" customFormat="1" ht="14.1" customHeight="1" x14ac:dyDescent="0.3">
      <c r="A249" s="229" t="str">
        <f>"0016148"</f>
        <v>0016148</v>
      </c>
      <c r="B249" s="86" t="s">
        <v>4163</v>
      </c>
      <c r="C249" s="228" t="str">
        <f>"628347500023"</f>
        <v>628347500023</v>
      </c>
      <c r="D249" s="19" t="s">
        <v>25</v>
      </c>
      <c r="E249" s="145" t="s">
        <v>3367</v>
      </c>
      <c r="F249" s="200">
        <v>44740</v>
      </c>
    </row>
    <row r="250" spans="1:6" s="39" customFormat="1" ht="14.1" customHeight="1" x14ac:dyDescent="0.3">
      <c r="A250" s="229" t="str">
        <f>"0016149"</f>
        <v>0016149</v>
      </c>
      <c r="B250" s="86" t="s">
        <v>4164</v>
      </c>
      <c r="C250" s="228" t="str">
        <f>"628347505769"</f>
        <v>628347505769</v>
      </c>
      <c r="D250" s="19" t="s">
        <v>25</v>
      </c>
      <c r="E250" s="145" t="s">
        <v>3367</v>
      </c>
      <c r="F250" s="200">
        <v>44740</v>
      </c>
    </row>
    <row r="251" spans="1:6" s="39" customFormat="1" ht="14.1" customHeight="1" x14ac:dyDescent="0.3">
      <c r="A251" s="229" t="str">
        <f>"0014585"</f>
        <v>0014585</v>
      </c>
      <c r="B251" s="86" t="s">
        <v>4161</v>
      </c>
      <c r="C251" s="228" t="str">
        <f>"812339000831"</f>
        <v>812339000831</v>
      </c>
      <c r="D251" s="19" t="s">
        <v>98</v>
      </c>
      <c r="E251" s="145" t="s">
        <v>3367</v>
      </c>
      <c r="F251" s="200">
        <v>44733</v>
      </c>
    </row>
    <row r="252" spans="1:6" s="39" customFormat="1" ht="14.1" customHeight="1" x14ac:dyDescent="0.3">
      <c r="A252" s="229">
        <v>19458</v>
      </c>
      <c r="B252" s="86" t="s">
        <v>4156</v>
      </c>
      <c r="C252" s="228">
        <v>814049009838</v>
      </c>
      <c r="D252" s="19" t="s">
        <v>25</v>
      </c>
      <c r="E252" s="145" t="s">
        <v>3367</v>
      </c>
      <c r="F252" s="200">
        <v>44716</v>
      </c>
    </row>
    <row r="253" spans="1:6" s="39" customFormat="1" ht="14.1" customHeight="1" x14ac:dyDescent="0.3">
      <c r="A253" s="229">
        <v>19464</v>
      </c>
      <c r="B253" s="86" t="s">
        <v>4157</v>
      </c>
      <c r="C253" s="228">
        <v>814049009630</v>
      </c>
      <c r="D253" s="19" t="s">
        <v>25</v>
      </c>
      <c r="E253" s="145" t="s">
        <v>3367</v>
      </c>
      <c r="F253" s="200">
        <v>44716</v>
      </c>
    </row>
    <row r="254" spans="1:6" s="39" customFormat="1" ht="14.1" customHeight="1" x14ac:dyDescent="0.3">
      <c r="A254" s="229">
        <v>19465</v>
      </c>
      <c r="B254" s="86" t="s">
        <v>4158</v>
      </c>
      <c r="C254" s="228">
        <v>814049009739</v>
      </c>
      <c r="D254" s="19" t="s">
        <v>25</v>
      </c>
      <c r="E254" s="145" t="s">
        <v>3367</v>
      </c>
      <c r="F254" s="200">
        <v>44716</v>
      </c>
    </row>
    <row r="255" spans="1:6" s="39" customFormat="1" ht="14.1" customHeight="1" x14ac:dyDescent="0.3">
      <c r="A255" s="229">
        <v>19466</v>
      </c>
      <c r="B255" s="86" t="s">
        <v>4159</v>
      </c>
      <c r="C255" s="228">
        <v>814049009333</v>
      </c>
      <c r="D255" s="19" t="s">
        <v>25</v>
      </c>
      <c r="E255" s="145" t="s">
        <v>3367</v>
      </c>
      <c r="F255" s="200">
        <v>44716</v>
      </c>
    </row>
    <row r="256" spans="1:6" s="39" customFormat="1" ht="14.1" customHeight="1" x14ac:dyDescent="0.3">
      <c r="A256" s="229">
        <v>312843</v>
      </c>
      <c r="B256" s="86" t="s">
        <v>466</v>
      </c>
      <c r="C256" s="228">
        <v>814049009036</v>
      </c>
      <c r="D256" s="19" t="s">
        <v>25</v>
      </c>
      <c r="E256" s="145" t="s">
        <v>3367</v>
      </c>
      <c r="F256" s="200">
        <v>44733</v>
      </c>
    </row>
    <row r="257" spans="1:6" s="39" customFormat="1" ht="14.1" customHeight="1" x14ac:dyDescent="0.3">
      <c r="A257" s="229">
        <v>497719</v>
      </c>
      <c r="B257" s="86" t="s">
        <v>4160</v>
      </c>
      <c r="C257" s="228">
        <v>814049009432</v>
      </c>
      <c r="D257" s="19" t="s">
        <v>25</v>
      </c>
      <c r="E257" s="145" t="s">
        <v>3367</v>
      </c>
      <c r="F257" s="200">
        <v>44733</v>
      </c>
    </row>
    <row r="258" spans="1:6" s="39" customFormat="1" ht="14.1" customHeight="1" x14ac:dyDescent="0.3">
      <c r="A258" s="229">
        <v>17816</v>
      </c>
      <c r="B258" s="86" t="s">
        <v>4149</v>
      </c>
      <c r="C258" s="228" t="str">
        <f>"856217000179"</f>
        <v>856217000179</v>
      </c>
      <c r="D258" s="19" t="s">
        <v>25</v>
      </c>
      <c r="E258" s="145" t="s">
        <v>3367</v>
      </c>
      <c r="F258" s="200">
        <v>44714</v>
      </c>
    </row>
    <row r="259" spans="1:6" s="39" customFormat="1" ht="14.1" customHeight="1" x14ac:dyDescent="0.3">
      <c r="A259" s="229">
        <v>20042</v>
      </c>
      <c r="B259" s="86" t="s">
        <v>4150</v>
      </c>
      <c r="C259" s="228" t="str">
        <f>"628055459330"</f>
        <v>628055459330</v>
      </c>
      <c r="D259" s="19" t="s">
        <v>48</v>
      </c>
      <c r="E259" s="145" t="s">
        <v>3367</v>
      </c>
      <c r="F259" s="200">
        <v>44714</v>
      </c>
    </row>
    <row r="260" spans="1:6" s="39" customFormat="1" ht="14.1" customHeight="1" x14ac:dyDescent="0.3">
      <c r="A260" s="229">
        <v>20141</v>
      </c>
      <c r="B260" s="86" t="s">
        <v>4151</v>
      </c>
      <c r="C260" s="228" t="str">
        <f>"627005030766"</f>
        <v>627005030766</v>
      </c>
      <c r="D260" s="19" t="s">
        <v>98</v>
      </c>
      <c r="E260" s="145" t="s">
        <v>3367</v>
      </c>
      <c r="F260" s="200">
        <v>44714</v>
      </c>
    </row>
    <row r="261" spans="1:6" s="39" customFormat="1" ht="14.1" customHeight="1" x14ac:dyDescent="0.3">
      <c r="A261" s="229">
        <v>22213</v>
      </c>
      <c r="B261" s="86" t="s">
        <v>4152</v>
      </c>
      <c r="C261" s="228" t="str">
        <f>"818662000470"</f>
        <v>818662000470</v>
      </c>
      <c r="D261" s="19" t="s">
        <v>25</v>
      </c>
      <c r="E261" s="145" t="s">
        <v>3367</v>
      </c>
      <c r="F261" s="200">
        <v>44714</v>
      </c>
    </row>
    <row r="262" spans="1:6" s="39" customFormat="1" ht="14.1" customHeight="1" x14ac:dyDescent="0.3">
      <c r="A262" s="229">
        <v>22753</v>
      </c>
      <c r="B262" s="86" t="s">
        <v>4153</v>
      </c>
      <c r="C262" s="228" t="str">
        <f>"628250784466"</f>
        <v>628250784466</v>
      </c>
      <c r="D262" s="19" t="s">
        <v>25</v>
      </c>
      <c r="E262" s="145" t="s">
        <v>3367</v>
      </c>
      <c r="F262" s="200">
        <v>44714</v>
      </c>
    </row>
    <row r="263" spans="1:6" s="39" customFormat="1" ht="14.1" customHeight="1" x14ac:dyDescent="0.3">
      <c r="A263" s="229">
        <v>23497</v>
      </c>
      <c r="B263" s="86" t="s">
        <v>4154</v>
      </c>
      <c r="C263" s="228" t="str">
        <f>"627987073027"</f>
        <v>627987073027</v>
      </c>
      <c r="D263" s="19" t="s">
        <v>1620</v>
      </c>
      <c r="E263" s="145" t="s">
        <v>3367</v>
      </c>
      <c r="F263" s="200">
        <v>44714</v>
      </c>
    </row>
    <row r="264" spans="1:6" s="39" customFormat="1" ht="14.1" customHeight="1" x14ac:dyDescent="0.3">
      <c r="A264" s="229">
        <v>17397</v>
      </c>
      <c r="B264" s="86" t="s">
        <v>4155</v>
      </c>
      <c r="C264" s="228" t="str">
        <f>"818662000425"</f>
        <v>818662000425</v>
      </c>
      <c r="D264" s="19" t="s">
        <v>25</v>
      </c>
      <c r="E264" s="145" t="s">
        <v>3367</v>
      </c>
      <c r="F264" s="200">
        <v>44733</v>
      </c>
    </row>
    <row r="265" spans="1:6" s="39" customFormat="1" ht="14.1" customHeight="1" x14ac:dyDescent="0.3">
      <c r="A265" s="229">
        <v>442319</v>
      </c>
      <c r="B265" s="86" t="s">
        <v>3500</v>
      </c>
      <c r="C265" s="228" t="str">
        <f>"186360000390"</f>
        <v>186360000390</v>
      </c>
      <c r="D265" s="19" t="s">
        <v>25</v>
      </c>
      <c r="E265" s="145" t="s">
        <v>3367</v>
      </c>
      <c r="F265" s="200">
        <v>44733</v>
      </c>
    </row>
    <row r="266" spans="1:6" s="39" customFormat="1" ht="12.65" customHeight="1" x14ac:dyDescent="0.3">
      <c r="A266" s="229" t="str">
        <f>"0020428"</f>
        <v>0020428</v>
      </c>
      <c r="B266" s="86" t="s">
        <v>4145</v>
      </c>
      <c r="C266" s="228" t="str">
        <f>"855315006625"</f>
        <v>855315006625</v>
      </c>
      <c r="D266" s="19" t="s">
        <v>25</v>
      </c>
      <c r="E266" s="145" t="s">
        <v>3367</v>
      </c>
      <c r="F266" s="200">
        <v>44713</v>
      </c>
    </row>
    <row r="267" spans="1:6" s="39" customFormat="1" ht="14.1" customHeight="1" x14ac:dyDescent="0.3">
      <c r="A267" s="229" t="str">
        <f>"0020664"</f>
        <v>0020664</v>
      </c>
      <c r="B267" s="86" t="s">
        <v>4146</v>
      </c>
      <c r="C267" s="228" t="str">
        <f>"855315006540"</f>
        <v>855315006540</v>
      </c>
      <c r="D267" s="19" t="s">
        <v>25</v>
      </c>
      <c r="E267" s="145" t="s">
        <v>3367</v>
      </c>
      <c r="F267" s="200">
        <v>44713</v>
      </c>
    </row>
    <row r="268" spans="1:6" s="39" customFormat="1" ht="14.1" customHeight="1" x14ac:dyDescent="0.3">
      <c r="A268" s="229" t="str">
        <f>"0461483"</f>
        <v>0461483</v>
      </c>
      <c r="B268" s="86" t="s">
        <v>4053</v>
      </c>
      <c r="C268" s="228" t="str">
        <f>"855315001477"</f>
        <v>855315001477</v>
      </c>
      <c r="D268" s="19" t="s">
        <v>25</v>
      </c>
      <c r="E268" s="145" t="s">
        <v>3367</v>
      </c>
      <c r="F268" s="200">
        <v>44713</v>
      </c>
    </row>
    <row r="269" spans="1:6" s="39" customFormat="1" ht="14.1" customHeight="1" x14ac:dyDescent="0.3">
      <c r="A269" s="229" t="str">
        <f>"0010574"</f>
        <v>0010574</v>
      </c>
      <c r="B269" s="86" t="s">
        <v>4147</v>
      </c>
      <c r="C269" s="228" t="str">
        <f>"627843374206"</f>
        <v>627843374206</v>
      </c>
      <c r="D269" s="19" t="s">
        <v>25</v>
      </c>
      <c r="E269" s="145" t="s">
        <v>3367</v>
      </c>
      <c r="F269" s="200">
        <v>44733</v>
      </c>
    </row>
    <row r="270" spans="1:6" s="39" customFormat="1" ht="14.1" customHeight="1" x14ac:dyDescent="0.3">
      <c r="A270" s="229" t="str">
        <f>"0019602"</f>
        <v>0019602</v>
      </c>
      <c r="B270" s="86" t="s">
        <v>4148</v>
      </c>
      <c r="C270" s="228" t="str">
        <f>"855315006564"</f>
        <v>855315006564</v>
      </c>
      <c r="D270" s="19" t="s">
        <v>60</v>
      </c>
      <c r="E270" s="145" t="s">
        <v>3367</v>
      </c>
      <c r="F270" s="200">
        <v>44733</v>
      </c>
    </row>
    <row r="271" spans="1:6" s="39" customFormat="1" ht="14.1" customHeight="1" x14ac:dyDescent="0.3">
      <c r="A271" s="229" t="str">
        <f>"0636274"</f>
        <v>0636274</v>
      </c>
      <c r="B271" s="86" t="s">
        <v>3770</v>
      </c>
      <c r="C271" s="228" t="str">
        <f>"855315006908"</f>
        <v>855315006908</v>
      </c>
      <c r="D271" s="19" t="s">
        <v>25</v>
      </c>
      <c r="E271" s="145" t="s">
        <v>3367</v>
      </c>
      <c r="F271" s="200">
        <v>44733</v>
      </c>
    </row>
    <row r="272" spans="1:6" s="39" customFormat="1" ht="14.1" customHeight="1" x14ac:dyDescent="0.3">
      <c r="A272" s="229" t="str">
        <f>"0998138"</f>
        <v>0998138</v>
      </c>
      <c r="B272" s="86" t="s">
        <v>4144</v>
      </c>
      <c r="C272" s="228" t="str">
        <f>"628055731221"</f>
        <v>628055731221</v>
      </c>
      <c r="D272" s="19" t="s">
        <v>25</v>
      </c>
      <c r="E272" s="145" t="s">
        <v>3367</v>
      </c>
      <c r="F272" s="200">
        <v>44726</v>
      </c>
    </row>
    <row r="273" spans="1:6" s="39" customFormat="1" ht="14.1" customHeight="1" x14ac:dyDescent="0.3">
      <c r="A273" s="229" t="str">
        <f>"0019913"</f>
        <v>0019913</v>
      </c>
      <c r="B273" s="86" t="s">
        <v>4143</v>
      </c>
      <c r="C273" s="228" t="str">
        <f>"626824210038"</f>
        <v>626824210038</v>
      </c>
      <c r="D273" s="19" t="s">
        <v>98</v>
      </c>
      <c r="E273" s="145" t="s">
        <v>3367</v>
      </c>
      <c r="F273" s="200">
        <v>44726</v>
      </c>
    </row>
    <row r="274" spans="1:6" s="39" customFormat="1" ht="14.1" customHeight="1" x14ac:dyDescent="0.3">
      <c r="A274" s="229" t="str">
        <f>"0024624"</f>
        <v>0024624</v>
      </c>
      <c r="B274" s="86" t="s">
        <v>4142</v>
      </c>
      <c r="C274" s="228" t="str">
        <f>"627843754312"</f>
        <v>627843754312</v>
      </c>
      <c r="D274" s="19" t="s">
        <v>25</v>
      </c>
      <c r="E274" s="145" t="s">
        <v>3367</v>
      </c>
      <c r="F274" s="200">
        <v>44709</v>
      </c>
    </row>
    <row r="275" spans="1:6" s="39" customFormat="1" ht="14.1" customHeight="1" x14ac:dyDescent="0.3">
      <c r="A275" s="229" t="str">
        <f>"0019664"</f>
        <v>0019664</v>
      </c>
      <c r="B275" s="86" t="s">
        <v>4141</v>
      </c>
      <c r="C275" s="228" t="str">
        <f>"834873000313"</f>
        <v>834873000313</v>
      </c>
      <c r="D275" s="19" t="s">
        <v>25</v>
      </c>
      <c r="E275" s="145" t="s">
        <v>3367</v>
      </c>
      <c r="F275" s="200">
        <v>44726</v>
      </c>
    </row>
    <row r="276" spans="1:6" s="39" customFormat="1" ht="14.1" customHeight="1" x14ac:dyDescent="0.3">
      <c r="A276" s="229" t="str">
        <f>"0017126"</f>
        <v>0017126</v>
      </c>
      <c r="B276" s="86" t="s">
        <v>4140</v>
      </c>
      <c r="C276" s="228" t="str">
        <f>"812652000112"</f>
        <v>812652000112</v>
      </c>
      <c r="D276" s="19" t="s">
        <v>25</v>
      </c>
      <c r="E276" s="145" t="s">
        <v>3367</v>
      </c>
      <c r="F276" s="200">
        <v>44726</v>
      </c>
    </row>
    <row r="277" spans="1:6" s="39" customFormat="1" ht="14.1" customHeight="1" x14ac:dyDescent="0.3">
      <c r="A277" s="229" t="str">
        <f>"0023500"</f>
        <v>0023500</v>
      </c>
      <c r="B277" s="86" t="s">
        <v>4137</v>
      </c>
      <c r="C277" s="228" t="str">
        <f>"793888594913"</f>
        <v>793888594913</v>
      </c>
      <c r="D277" s="19" t="s">
        <v>48</v>
      </c>
      <c r="E277" s="145" t="s">
        <v>3367</v>
      </c>
      <c r="F277" s="200">
        <v>44726</v>
      </c>
    </row>
    <row r="278" spans="1:6" s="39" customFormat="1" ht="14.1" customHeight="1" x14ac:dyDescent="0.3">
      <c r="A278" s="229" t="str">
        <f>"0025454"</f>
        <v>0025454</v>
      </c>
      <c r="B278" s="86" t="s">
        <v>4138</v>
      </c>
      <c r="C278" s="228" t="str">
        <f>"793888596917"</f>
        <v>793888596917</v>
      </c>
      <c r="D278" s="19" t="s">
        <v>25</v>
      </c>
      <c r="E278" s="145" t="s">
        <v>3367</v>
      </c>
      <c r="F278" s="200">
        <v>44726</v>
      </c>
    </row>
    <row r="279" spans="1:6" s="39" customFormat="1" ht="14.1" customHeight="1" x14ac:dyDescent="0.3">
      <c r="A279" s="229" t="str">
        <f>"0025456"</f>
        <v>0025456</v>
      </c>
      <c r="B279" s="86" t="s">
        <v>4139</v>
      </c>
      <c r="C279" s="228" t="str">
        <f>"793888597013"</f>
        <v>793888597013</v>
      </c>
      <c r="D279" s="19" t="s">
        <v>48</v>
      </c>
      <c r="E279" s="145" t="s">
        <v>3367</v>
      </c>
      <c r="F279" s="200">
        <v>44726</v>
      </c>
    </row>
    <row r="280" spans="1:6" s="39" customFormat="1" ht="14.1" customHeight="1" x14ac:dyDescent="0.3">
      <c r="A280" s="229" t="str">
        <f>"0551697"</f>
        <v>0551697</v>
      </c>
      <c r="B280" s="86" t="s">
        <v>4136</v>
      </c>
      <c r="C280" s="228" t="str">
        <f>"5410702000331"</f>
        <v>5410702000331</v>
      </c>
      <c r="D280" s="19" t="s">
        <v>2231</v>
      </c>
      <c r="E280" s="145" t="s">
        <v>3367</v>
      </c>
      <c r="F280" s="200">
        <v>44708</v>
      </c>
    </row>
    <row r="281" spans="1:6" s="39" customFormat="1" ht="14.1" customHeight="1" x14ac:dyDescent="0.3">
      <c r="A281" s="229" t="str">
        <f>"0015301"</f>
        <v>0015301</v>
      </c>
      <c r="B281" s="86" t="s">
        <v>4135</v>
      </c>
      <c r="C281" s="228" t="str">
        <f>"675325010333"</f>
        <v>675325010333</v>
      </c>
      <c r="D281" s="19" t="s">
        <v>25</v>
      </c>
      <c r="E281" s="145" t="s">
        <v>3367</v>
      </c>
      <c r="F281" s="200">
        <v>44726</v>
      </c>
    </row>
    <row r="282" spans="1:6" s="39" customFormat="1" ht="14.1" customHeight="1" x14ac:dyDescent="0.3">
      <c r="A282" s="229" t="str">
        <f>"0012853"</f>
        <v>0012853</v>
      </c>
      <c r="B282" s="86" t="s">
        <v>2993</v>
      </c>
      <c r="C282" s="228" t="str">
        <f>"812339000817"</f>
        <v>812339000817</v>
      </c>
      <c r="D282" s="19" t="s">
        <v>25</v>
      </c>
      <c r="E282" s="145" t="s">
        <v>3367</v>
      </c>
      <c r="F282" s="200">
        <v>44719</v>
      </c>
    </row>
    <row r="283" spans="1:6" s="39" customFormat="1" ht="14.1" customHeight="1" x14ac:dyDescent="0.3">
      <c r="A283" s="229" t="str">
        <f>"0021505"</f>
        <v>0021505</v>
      </c>
      <c r="B283" s="86" t="s">
        <v>4132</v>
      </c>
      <c r="C283" s="228" t="str">
        <f>"812339000961"</f>
        <v>812339000961</v>
      </c>
      <c r="D283" s="19" t="s">
        <v>2702</v>
      </c>
      <c r="E283" s="145" t="s">
        <v>3367</v>
      </c>
      <c r="F283" s="200">
        <v>44719</v>
      </c>
    </row>
    <row r="284" spans="1:6" s="39" customFormat="1" ht="14.1" customHeight="1" x14ac:dyDescent="0.3">
      <c r="A284" s="229" t="str">
        <f>"0026596"</f>
        <v>0026596</v>
      </c>
      <c r="B284" s="86" t="s">
        <v>4133</v>
      </c>
      <c r="C284" s="228" t="str">
        <f>"812339001012"</f>
        <v>812339001012</v>
      </c>
      <c r="D284" s="19" t="s">
        <v>25</v>
      </c>
      <c r="E284" s="145" t="s">
        <v>3367</v>
      </c>
      <c r="F284" s="200">
        <v>44719</v>
      </c>
    </row>
    <row r="285" spans="1:6" s="39" customFormat="1" ht="14.1" customHeight="1" x14ac:dyDescent="0.3">
      <c r="A285" s="229" t="str">
        <f>"0020625"</f>
        <v>0020625</v>
      </c>
      <c r="B285" s="86" t="s">
        <v>4134</v>
      </c>
      <c r="C285" s="228" t="str">
        <f>"812339000930"</f>
        <v>812339000930</v>
      </c>
      <c r="D285" s="19" t="s">
        <v>25</v>
      </c>
      <c r="E285" s="145" t="s">
        <v>3367</v>
      </c>
      <c r="F285" s="200">
        <v>44706</v>
      </c>
    </row>
    <row r="286" spans="1:6" s="39" customFormat="1" ht="14.1" customHeight="1" x14ac:dyDescent="0.3">
      <c r="A286" s="229" t="str">
        <f>"0605394"</f>
        <v>0605394</v>
      </c>
      <c r="B286" s="86" t="s">
        <v>4131</v>
      </c>
      <c r="C286" s="228" t="str">
        <f>"776213000013"</f>
        <v>776213000013</v>
      </c>
      <c r="D286" s="19" t="s">
        <v>106</v>
      </c>
      <c r="E286" s="145" t="s">
        <v>3367</v>
      </c>
      <c r="F286" s="200">
        <v>44706</v>
      </c>
    </row>
    <row r="287" spans="1:6" s="39" customFormat="1" ht="14.65" customHeight="1" x14ac:dyDescent="0.3">
      <c r="A287" s="229" t="str">
        <f>"0012329"</f>
        <v>0012329</v>
      </c>
      <c r="B287" s="86" t="s">
        <v>4128</v>
      </c>
      <c r="C287" s="228" t="str">
        <f>"056327013742"</f>
        <v>056327013742</v>
      </c>
      <c r="D287" s="19" t="s">
        <v>124</v>
      </c>
      <c r="E287" s="145" t="s">
        <v>3367</v>
      </c>
      <c r="F287" s="200">
        <v>44712</v>
      </c>
    </row>
    <row r="288" spans="1:6" s="39" customFormat="1" ht="14.65" customHeight="1" x14ac:dyDescent="0.3">
      <c r="A288" s="229" t="str">
        <f>"0015476"</f>
        <v>0015476</v>
      </c>
      <c r="B288" s="86" t="s">
        <v>2906</v>
      </c>
      <c r="C288" s="228" t="str">
        <f>"056327015487"</f>
        <v>056327015487</v>
      </c>
      <c r="D288" s="19" t="s">
        <v>25</v>
      </c>
      <c r="E288" s="145" t="s">
        <v>3367</v>
      </c>
      <c r="F288" s="200">
        <v>44712</v>
      </c>
    </row>
    <row r="289" spans="1:6" s="39" customFormat="1" ht="14.65" customHeight="1" x14ac:dyDescent="0.3">
      <c r="A289" s="229" t="str">
        <f>"0019886"</f>
        <v>0019886</v>
      </c>
      <c r="B289" s="86" t="s">
        <v>4129</v>
      </c>
      <c r="C289" s="228" t="str">
        <f>"056327019430"</f>
        <v>056327019430</v>
      </c>
      <c r="D289" s="19" t="s">
        <v>25</v>
      </c>
      <c r="E289" s="145" t="s">
        <v>3367</v>
      </c>
      <c r="F289" s="200">
        <v>44712</v>
      </c>
    </row>
    <row r="290" spans="1:6" s="39" customFormat="1" ht="14.65" customHeight="1" x14ac:dyDescent="0.3">
      <c r="A290" s="229" t="str">
        <f>"0697268"</f>
        <v>0697268</v>
      </c>
      <c r="B290" s="86" t="s">
        <v>4130</v>
      </c>
      <c r="C290" s="228" t="str">
        <f>"056327013711"</f>
        <v>056327013711</v>
      </c>
      <c r="D290" s="19" t="s">
        <v>25</v>
      </c>
      <c r="E290" s="145" t="s">
        <v>3367</v>
      </c>
      <c r="F290" s="200">
        <v>44712</v>
      </c>
    </row>
    <row r="291" spans="1:6" s="39" customFormat="1" ht="14.65" customHeight="1" x14ac:dyDescent="0.3">
      <c r="A291" s="229" t="str">
        <f>"0515098"</f>
        <v>0515098</v>
      </c>
      <c r="B291" s="86" t="s">
        <v>168</v>
      </c>
      <c r="C291" s="228" t="str">
        <f>"779315375188"</f>
        <v>779315375188</v>
      </c>
      <c r="D291" s="19" t="s">
        <v>25</v>
      </c>
      <c r="E291" s="145" t="s">
        <v>4127</v>
      </c>
      <c r="F291" s="200">
        <v>44695</v>
      </c>
    </row>
    <row r="292" spans="1:6" s="39" customFormat="1" ht="14.65" customHeight="1" x14ac:dyDescent="0.3">
      <c r="A292" s="229" t="str">
        <f>"0698332"</f>
        <v>0698332</v>
      </c>
      <c r="B292" s="86" t="s">
        <v>4126</v>
      </c>
      <c r="C292" s="228" t="str">
        <f>"040232319990"</f>
        <v>040232319990</v>
      </c>
      <c r="D292" s="19" t="s">
        <v>25</v>
      </c>
      <c r="E292" s="145" t="s">
        <v>3367</v>
      </c>
      <c r="F292" s="200">
        <v>44712</v>
      </c>
    </row>
    <row r="293" spans="1:6" s="39" customFormat="1" ht="14.65" customHeight="1" x14ac:dyDescent="0.3">
      <c r="A293" s="229" t="str">
        <f>"0018117"</f>
        <v>0018117</v>
      </c>
      <c r="B293" s="86" t="s">
        <v>4124</v>
      </c>
      <c r="C293" s="228" t="str">
        <f>"666960000117"</f>
        <v>666960000117</v>
      </c>
      <c r="D293" s="19" t="s">
        <v>25</v>
      </c>
      <c r="E293" s="145" t="s">
        <v>3367</v>
      </c>
      <c r="F293" s="200">
        <v>44712</v>
      </c>
    </row>
    <row r="294" spans="1:6" s="39" customFormat="1" ht="14.65" customHeight="1" x14ac:dyDescent="0.3">
      <c r="A294" s="229" t="str">
        <f>"0019501"</f>
        <v>0019501</v>
      </c>
      <c r="B294" s="86" t="s">
        <v>4125</v>
      </c>
      <c r="C294" s="228" t="str">
        <f>"666960000124"</f>
        <v>666960000124</v>
      </c>
      <c r="D294" s="19" t="s">
        <v>25</v>
      </c>
      <c r="E294" s="145" t="s">
        <v>3367</v>
      </c>
      <c r="F294" s="200">
        <v>44712</v>
      </c>
    </row>
    <row r="295" spans="1:6" s="39" customFormat="1" ht="14.65" customHeight="1" x14ac:dyDescent="0.3">
      <c r="A295" s="229" t="str">
        <f>"0015881"</f>
        <v>0015881</v>
      </c>
      <c r="B295" s="86" t="s">
        <v>4123</v>
      </c>
      <c r="C295" s="228" t="str">
        <f>"0702915000716"</f>
        <v>0702915000716</v>
      </c>
      <c r="D295" s="19" t="s">
        <v>25</v>
      </c>
      <c r="E295" s="145" t="s">
        <v>3367</v>
      </c>
      <c r="F295" s="200">
        <v>44712</v>
      </c>
    </row>
    <row r="296" spans="1:6" s="39" customFormat="1" ht="14.65" customHeight="1" x14ac:dyDescent="0.3">
      <c r="A296" s="229" t="str">
        <f>"0013445"</f>
        <v>0013445</v>
      </c>
      <c r="B296" s="86" t="s">
        <v>4122</v>
      </c>
      <c r="C296" s="228" t="str">
        <f>"691245000025"</f>
        <v>691245000025</v>
      </c>
      <c r="D296" s="19" t="s">
        <v>25</v>
      </c>
      <c r="E296" s="145" t="s">
        <v>3367</v>
      </c>
      <c r="F296" s="200">
        <v>44712</v>
      </c>
    </row>
    <row r="297" spans="1:6" s="39" customFormat="1" ht="14.65" customHeight="1" x14ac:dyDescent="0.3">
      <c r="A297" s="229" t="str">
        <f>"0012449"</f>
        <v>0012449</v>
      </c>
      <c r="B297" s="86" t="s">
        <v>4121</v>
      </c>
      <c r="C297" s="228" t="str">
        <f>"056910002016"</f>
        <v>056910002016</v>
      </c>
      <c r="D297" s="19" t="s">
        <v>37</v>
      </c>
      <c r="E297" s="145" t="s">
        <v>3367</v>
      </c>
      <c r="F297" s="200">
        <v>44693</v>
      </c>
    </row>
    <row r="298" spans="1:6" s="39" customFormat="1" ht="41.95" x14ac:dyDescent="0.3">
      <c r="A298" s="230" t="str">
        <f>"0247486"</f>
        <v>0247486</v>
      </c>
      <c r="B298" s="231" t="s">
        <v>2955</v>
      </c>
      <c r="C298" s="158" t="str">
        <f>"400486622220"</f>
        <v>400486622220</v>
      </c>
      <c r="D298" s="157" t="s">
        <v>48</v>
      </c>
      <c r="E298" s="172" t="s">
        <v>4120</v>
      </c>
      <c r="F298" s="200">
        <v>44706</v>
      </c>
    </row>
    <row r="299" spans="1:6" s="39" customFormat="1" ht="14.65" customHeight="1" x14ac:dyDescent="0.3">
      <c r="A299" s="229" t="str">
        <f>"0494872"</f>
        <v>0494872</v>
      </c>
      <c r="B299" s="86" t="s">
        <v>4119</v>
      </c>
      <c r="C299" s="228" t="str">
        <f>"628055427070"</f>
        <v>628055427070</v>
      </c>
      <c r="D299" s="19" t="s">
        <v>29</v>
      </c>
      <c r="E299" s="145" t="s">
        <v>3367</v>
      </c>
      <c r="F299" s="200">
        <v>44706</v>
      </c>
    </row>
    <row r="300" spans="1:6" s="39" customFormat="1" ht="41.95" x14ac:dyDescent="0.3">
      <c r="A300" s="230" t="str">
        <f>"0015406"</f>
        <v>0015406</v>
      </c>
      <c r="B300" s="231" t="s">
        <v>4117</v>
      </c>
      <c r="C300" s="158" t="str">
        <f>"056910304738"</f>
        <v>056910304738</v>
      </c>
      <c r="D300" s="157" t="s">
        <v>25</v>
      </c>
      <c r="E300" s="172" t="s">
        <v>4118</v>
      </c>
      <c r="F300" s="204">
        <v>44691</v>
      </c>
    </row>
    <row r="301" spans="1:6" s="39" customFormat="1" ht="14.65" customHeight="1" x14ac:dyDescent="0.3">
      <c r="A301" s="224" t="str">
        <f>"0026613"</f>
        <v>0026613</v>
      </c>
      <c r="B301" s="223" t="s">
        <v>4101</v>
      </c>
      <c r="C301" s="228" t="str">
        <f>"620707101963"</f>
        <v>620707101963</v>
      </c>
      <c r="D301" s="19" t="s">
        <v>25</v>
      </c>
      <c r="E301" s="145" t="s">
        <v>4113</v>
      </c>
      <c r="F301" s="200">
        <v>44684</v>
      </c>
    </row>
    <row r="302" spans="1:6" s="39" customFormat="1" ht="14.65" customHeight="1" x14ac:dyDescent="0.3">
      <c r="A302" s="224" t="str">
        <f>"0026615"</f>
        <v>0026615</v>
      </c>
      <c r="B302" s="223" t="s">
        <v>4115</v>
      </c>
      <c r="C302" s="228" t="str">
        <f>"620707106449"</f>
        <v>620707106449</v>
      </c>
      <c r="D302" s="19" t="s">
        <v>98</v>
      </c>
      <c r="E302" s="145" t="s">
        <v>4113</v>
      </c>
      <c r="F302" s="200">
        <v>44684</v>
      </c>
    </row>
    <row r="303" spans="1:6" s="39" customFormat="1" ht="14.65" customHeight="1" x14ac:dyDescent="0.3">
      <c r="A303" s="224" t="str">
        <f>"0026620"</f>
        <v>0026620</v>
      </c>
      <c r="B303" s="223" t="s">
        <v>4116</v>
      </c>
      <c r="C303" s="228" t="str">
        <f>"620707106586"</f>
        <v>620707106586</v>
      </c>
      <c r="D303" s="19" t="s">
        <v>98</v>
      </c>
      <c r="E303" s="145" t="s">
        <v>4113</v>
      </c>
      <c r="F303" s="200">
        <v>44684</v>
      </c>
    </row>
    <row r="304" spans="1:6" s="39" customFormat="1" ht="14.65" customHeight="1" x14ac:dyDescent="0.3">
      <c r="A304" s="229">
        <v>574541</v>
      </c>
      <c r="B304" s="86" t="s">
        <v>4114</v>
      </c>
      <c r="C304" s="228">
        <v>727530560315</v>
      </c>
      <c r="D304" s="19" t="s">
        <v>202</v>
      </c>
      <c r="E304" s="145" t="s">
        <v>3367</v>
      </c>
      <c r="F304" s="200">
        <v>44698</v>
      </c>
    </row>
    <row r="305" spans="1:6" s="39" customFormat="1" ht="14.65" customHeight="1" x14ac:dyDescent="0.3">
      <c r="A305" s="224" t="str">
        <f>"0024566"</f>
        <v>0024566</v>
      </c>
      <c r="B305" s="223" t="s">
        <v>4112</v>
      </c>
      <c r="C305" s="228" t="str">
        <f>"628451690085"</f>
        <v>628451690085</v>
      </c>
      <c r="D305" s="19" t="s">
        <v>1620</v>
      </c>
      <c r="E305" s="145" t="s">
        <v>4113</v>
      </c>
      <c r="F305" s="200">
        <v>44681</v>
      </c>
    </row>
    <row r="306" spans="1:6" s="39" customFormat="1" ht="14.65" customHeight="1" x14ac:dyDescent="0.3">
      <c r="A306" s="224" t="str">
        <f>"0016282"</f>
        <v>0016282</v>
      </c>
      <c r="B306" s="223" t="s">
        <v>2920</v>
      </c>
      <c r="C306" s="228" t="str">
        <f>"727530566201"</f>
        <v>727530566201</v>
      </c>
      <c r="D306" s="19" t="s">
        <v>25</v>
      </c>
      <c r="E306" s="145" t="s">
        <v>4111</v>
      </c>
      <c r="F306" s="200">
        <v>44333</v>
      </c>
    </row>
    <row r="307" spans="1:6" s="39" customFormat="1" ht="14.65" customHeight="1" x14ac:dyDescent="0.3">
      <c r="A307" s="224">
        <v>19721</v>
      </c>
      <c r="B307" s="223" t="s">
        <v>4109</v>
      </c>
      <c r="C307" s="122" t="str">
        <f>"672975555467"</f>
        <v>672975555467</v>
      </c>
      <c r="D307" s="19" t="s">
        <v>25</v>
      </c>
      <c r="E307" s="145" t="s">
        <v>4110</v>
      </c>
      <c r="F307" s="200">
        <v>44677</v>
      </c>
    </row>
    <row r="308" spans="1:6" s="39" customFormat="1" ht="14.65" customHeight="1" x14ac:dyDescent="0.3">
      <c r="A308" s="224">
        <v>17671</v>
      </c>
      <c r="B308" s="223" t="s">
        <v>3394</v>
      </c>
      <c r="C308" s="122" t="str">
        <f>"672975229542"</f>
        <v>672975229542</v>
      </c>
      <c r="D308" s="19" t="s">
        <v>25</v>
      </c>
      <c r="E308" s="145" t="s">
        <v>4108</v>
      </c>
      <c r="F308" s="200">
        <v>44691</v>
      </c>
    </row>
    <row r="309" spans="1:6" s="39" customFormat="1" ht="14.65" customHeight="1" x14ac:dyDescent="0.3">
      <c r="A309" s="224">
        <v>19263</v>
      </c>
      <c r="B309" s="223" t="s">
        <v>3318</v>
      </c>
      <c r="C309" s="122" t="str">
        <f>"672975229610"</f>
        <v>672975229610</v>
      </c>
      <c r="D309" s="19" t="s">
        <v>25</v>
      </c>
      <c r="E309" s="145" t="s">
        <v>4108</v>
      </c>
      <c r="F309" s="200">
        <v>44691</v>
      </c>
    </row>
    <row r="310" spans="1:6" s="39" customFormat="1" ht="14.65" customHeight="1" x14ac:dyDescent="0.3">
      <c r="A310" s="224">
        <v>19266</v>
      </c>
      <c r="B310" s="223" t="s">
        <v>3319</v>
      </c>
      <c r="C310" s="122" t="str">
        <f>"672975229696"</f>
        <v>672975229696</v>
      </c>
      <c r="D310" s="19" t="s">
        <v>98</v>
      </c>
      <c r="E310" s="145" t="s">
        <v>4108</v>
      </c>
      <c r="F310" s="200">
        <v>44691</v>
      </c>
    </row>
    <row r="311" spans="1:6" s="39" customFormat="1" ht="14.65" customHeight="1" x14ac:dyDescent="0.3">
      <c r="A311" s="224">
        <v>19268</v>
      </c>
      <c r="B311" s="223" t="s">
        <v>2400</v>
      </c>
      <c r="C311" s="122" t="str">
        <f>"672975229603"</f>
        <v>672975229603</v>
      </c>
      <c r="D311" s="19" t="s">
        <v>25</v>
      </c>
      <c r="E311" s="145" t="s">
        <v>4108</v>
      </c>
      <c r="F311" s="200">
        <v>44691</v>
      </c>
    </row>
    <row r="312" spans="1:6" s="39" customFormat="1" ht="14.65" customHeight="1" x14ac:dyDescent="0.3">
      <c r="A312" s="224">
        <v>19271</v>
      </c>
      <c r="B312" s="223" t="s">
        <v>4106</v>
      </c>
      <c r="C312" s="122" t="str">
        <f>"672975229702"</f>
        <v>672975229702</v>
      </c>
      <c r="D312" s="19" t="s">
        <v>1013</v>
      </c>
      <c r="E312" s="145" t="s">
        <v>4108</v>
      </c>
      <c r="F312" s="200">
        <v>44691</v>
      </c>
    </row>
    <row r="313" spans="1:6" s="39" customFormat="1" ht="14.65" customHeight="1" x14ac:dyDescent="0.3">
      <c r="A313" s="224">
        <v>19358</v>
      </c>
      <c r="B313" s="223" t="s">
        <v>4107</v>
      </c>
      <c r="C313" s="122" t="str">
        <f>"672975229740"</f>
        <v>672975229740</v>
      </c>
      <c r="D313" s="19" t="s">
        <v>25</v>
      </c>
      <c r="E313" s="145" t="s">
        <v>4108</v>
      </c>
      <c r="F313" s="200">
        <v>44691</v>
      </c>
    </row>
    <row r="314" spans="1:6" s="39" customFormat="1" ht="14.65" customHeight="1" x14ac:dyDescent="0.3">
      <c r="A314" s="224">
        <v>20224</v>
      </c>
      <c r="B314" s="223" t="s">
        <v>2395</v>
      </c>
      <c r="C314" s="122" t="str">
        <f>"672975229634"</f>
        <v>672975229634</v>
      </c>
      <c r="D314" s="19" t="s">
        <v>25</v>
      </c>
      <c r="E314" s="145" t="s">
        <v>4108</v>
      </c>
      <c r="F314" s="200">
        <v>44691</v>
      </c>
    </row>
    <row r="315" spans="1:6" s="39" customFormat="1" ht="14.65" customHeight="1" x14ac:dyDescent="0.3">
      <c r="A315" s="224">
        <v>22221</v>
      </c>
      <c r="B315" s="223" t="s">
        <v>3747</v>
      </c>
      <c r="C315" s="122" t="str">
        <f>"672975229771"</f>
        <v>672975229771</v>
      </c>
      <c r="D315" s="19" t="s">
        <v>25</v>
      </c>
      <c r="E315" s="145" t="s">
        <v>4108</v>
      </c>
      <c r="F315" s="200">
        <v>44691</v>
      </c>
    </row>
    <row r="316" spans="1:6" s="39" customFormat="1" ht="14.65" customHeight="1" x14ac:dyDescent="0.3">
      <c r="A316" s="224">
        <v>10302</v>
      </c>
      <c r="B316" s="223" t="s">
        <v>3558</v>
      </c>
      <c r="C316" s="122" t="str">
        <f>"672975229825"</f>
        <v>672975229825</v>
      </c>
      <c r="D316" s="19" t="s">
        <v>25</v>
      </c>
      <c r="E316" s="145" t="s">
        <v>3367</v>
      </c>
      <c r="F316" s="200">
        <v>44691</v>
      </c>
    </row>
    <row r="317" spans="1:6" s="39" customFormat="1" ht="14.65" customHeight="1" x14ac:dyDescent="0.3">
      <c r="A317" s="224">
        <v>18638</v>
      </c>
      <c r="B317" s="223" t="s">
        <v>4103</v>
      </c>
      <c r="C317" s="122" t="str">
        <f>"672975229597"</f>
        <v>672975229597</v>
      </c>
      <c r="D317" s="19" t="s">
        <v>25</v>
      </c>
      <c r="E317" s="145" t="s">
        <v>3367</v>
      </c>
      <c r="F317" s="200">
        <v>44691</v>
      </c>
    </row>
    <row r="318" spans="1:6" s="39" customFormat="1" ht="14.65" customHeight="1" x14ac:dyDescent="0.3">
      <c r="A318" s="224">
        <v>19269</v>
      </c>
      <c r="B318" s="223" t="s">
        <v>3320</v>
      </c>
      <c r="C318" s="122" t="str">
        <f>"672975229627"</f>
        <v>672975229627</v>
      </c>
      <c r="D318" s="19" t="s">
        <v>25</v>
      </c>
      <c r="E318" s="145" t="s">
        <v>3367</v>
      </c>
      <c r="F318" s="200">
        <v>44691</v>
      </c>
    </row>
    <row r="319" spans="1:6" s="39" customFormat="1" ht="14.65" customHeight="1" x14ac:dyDescent="0.3">
      <c r="A319" s="224">
        <v>19270</v>
      </c>
      <c r="B319" s="223" t="s">
        <v>3321</v>
      </c>
      <c r="C319" s="122" t="str">
        <f>"672975229658"</f>
        <v>672975229658</v>
      </c>
      <c r="D319" s="19" t="s">
        <v>25</v>
      </c>
      <c r="E319" s="145" t="s">
        <v>3367</v>
      </c>
      <c r="F319" s="200">
        <v>44691</v>
      </c>
    </row>
    <row r="320" spans="1:6" s="39" customFormat="1" ht="14.65" customHeight="1" x14ac:dyDescent="0.3">
      <c r="A320" s="224">
        <v>20226</v>
      </c>
      <c r="B320" s="223" t="s">
        <v>4104</v>
      </c>
      <c r="C320" s="122" t="str">
        <f>"672975229757"</f>
        <v>672975229757</v>
      </c>
      <c r="D320" s="19" t="s">
        <v>25</v>
      </c>
      <c r="E320" s="145" t="s">
        <v>3367</v>
      </c>
      <c r="F320" s="200">
        <v>44691</v>
      </c>
    </row>
    <row r="321" spans="1:6" s="39" customFormat="1" ht="14.65" customHeight="1" x14ac:dyDescent="0.3">
      <c r="A321" s="224">
        <v>22619</v>
      </c>
      <c r="B321" s="223" t="s">
        <v>4105</v>
      </c>
      <c r="C321" s="122" t="str">
        <f>"672975229764"</f>
        <v>672975229764</v>
      </c>
      <c r="D321" s="19" t="s">
        <v>25</v>
      </c>
      <c r="E321" s="145" t="s">
        <v>3367</v>
      </c>
      <c r="F321" s="200">
        <v>44691</v>
      </c>
    </row>
    <row r="322" spans="1:6" s="39" customFormat="1" ht="14.65" customHeight="1" x14ac:dyDescent="0.3">
      <c r="A322" s="224">
        <v>22620</v>
      </c>
      <c r="B322" s="223" t="s">
        <v>3748</v>
      </c>
      <c r="C322" s="122" t="str">
        <f>"672975229818"</f>
        <v>672975229818</v>
      </c>
      <c r="D322" s="19" t="s">
        <v>98</v>
      </c>
      <c r="E322" s="145" t="s">
        <v>3367</v>
      </c>
      <c r="F322" s="200">
        <v>44691</v>
      </c>
    </row>
    <row r="323" spans="1:6" s="39" customFormat="1" ht="14.65" customHeight="1" x14ac:dyDescent="0.3">
      <c r="A323" s="224" t="str">
        <f>"0026613"</f>
        <v>0026613</v>
      </c>
      <c r="B323" s="223" t="s">
        <v>4101</v>
      </c>
      <c r="C323" s="122" t="str">
        <f>"620707101963"</f>
        <v>620707101963</v>
      </c>
      <c r="D323" s="19" t="s">
        <v>25</v>
      </c>
      <c r="E323" s="145" t="s">
        <v>4102</v>
      </c>
      <c r="F323" s="200">
        <v>44673</v>
      </c>
    </row>
    <row r="324" spans="1:6" s="39" customFormat="1" ht="14.65" customHeight="1" x14ac:dyDescent="0.3">
      <c r="A324" s="224" t="str">
        <f>"0494898"</f>
        <v>0494898</v>
      </c>
      <c r="B324" s="223" t="s">
        <v>4100</v>
      </c>
      <c r="C324" s="122" t="str">
        <f>"628055427018"</f>
        <v>628055427018</v>
      </c>
      <c r="D324" s="19" t="s">
        <v>29</v>
      </c>
      <c r="E324" s="145" t="s">
        <v>3367</v>
      </c>
      <c r="F324" s="200">
        <v>44691</v>
      </c>
    </row>
    <row r="325" spans="1:6" s="39" customFormat="1" ht="14.65" customHeight="1" x14ac:dyDescent="0.3">
      <c r="A325" s="224" t="str">
        <f>"0020139"</f>
        <v>0020139</v>
      </c>
      <c r="B325" s="223" t="s">
        <v>3708</v>
      </c>
      <c r="C325" s="122" t="str">
        <f>"776029705805"</f>
        <v>776029705805</v>
      </c>
      <c r="D325" s="19" t="s">
        <v>25</v>
      </c>
      <c r="E325" s="145" t="s">
        <v>3367</v>
      </c>
      <c r="F325" s="200">
        <v>44684</v>
      </c>
    </row>
    <row r="326" spans="1:6" s="39" customFormat="1" ht="14.65" customHeight="1" x14ac:dyDescent="0.3">
      <c r="A326" s="224" t="str">
        <f>"0015733"</f>
        <v>0015733</v>
      </c>
      <c r="B326" s="223" t="s">
        <v>4099</v>
      </c>
      <c r="C326" s="122" t="str">
        <f>"855315005659"</f>
        <v>855315005659</v>
      </c>
      <c r="D326" s="19" t="s">
        <v>25</v>
      </c>
      <c r="E326" s="145" t="s">
        <v>3367</v>
      </c>
      <c r="F326" s="200">
        <v>44684</v>
      </c>
    </row>
    <row r="327" spans="1:6" s="39" customFormat="1" ht="29.7" customHeight="1" x14ac:dyDescent="0.3">
      <c r="A327" s="225">
        <v>471474</v>
      </c>
      <c r="B327" s="227" t="s">
        <v>4097</v>
      </c>
      <c r="C327" s="122">
        <v>627843607847</v>
      </c>
      <c r="D327" s="19" t="s">
        <v>25</v>
      </c>
      <c r="E327" s="184" t="s">
        <v>4098</v>
      </c>
      <c r="F327" s="200">
        <v>44684</v>
      </c>
    </row>
    <row r="328" spans="1:6" s="39" customFormat="1" ht="14.65" customHeight="1" x14ac:dyDescent="0.3">
      <c r="A328" s="224" t="str">
        <f>"0024995"</f>
        <v>0024995</v>
      </c>
      <c r="B328" s="223" t="s">
        <v>4095</v>
      </c>
      <c r="C328" s="122" t="str">
        <f>"776029706116"</f>
        <v>776029706116</v>
      </c>
      <c r="D328" s="19" t="s">
        <v>25</v>
      </c>
      <c r="E328" s="145" t="s">
        <v>3367</v>
      </c>
      <c r="F328" s="200">
        <v>44684</v>
      </c>
    </row>
    <row r="329" spans="1:6" s="39" customFormat="1" ht="14.65" customHeight="1" x14ac:dyDescent="0.3">
      <c r="A329" s="224" t="str">
        <f>"0024996"</f>
        <v>0024996</v>
      </c>
      <c r="B329" s="223" t="s">
        <v>4096</v>
      </c>
      <c r="C329" s="122" t="str">
        <f>"776029706123"</f>
        <v>776029706123</v>
      </c>
      <c r="D329" s="19" t="s">
        <v>25</v>
      </c>
      <c r="E329" s="145" t="s">
        <v>3367</v>
      </c>
      <c r="F329" s="200">
        <v>44684</v>
      </c>
    </row>
    <row r="330" spans="1:6" s="39" customFormat="1" ht="14.65" customHeight="1" x14ac:dyDescent="0.3">
      <c r="A330" s="224" t="str">
        <f>"0166215"</f>
        <v>0166215</v>
      </c>
      <c r="B330" s="223" t="s">
        <v>4093</v>
      </c>
      <c r="C330" s="122" t="str">
        <f>"626824100070"</f>
        <v>626824100070</v>
      </c>
      <c r="D330" s="19" t="s">
        <v>37</v>
      </c>
      <c r="E330" s="145" t="s">
        <v>3367</v>
      </c>
      <c r="F330" s="200">
        <v>44684</v>
      </c>
    </row>
    <row r="331" spans="1:6" s="39" customFormat="1" ht="14.65" customHeight="1" x14ac:dyDescent="0.3">
      <c r="A331" s="224" t="str">
        <f>"0288506"</f>
        <v>0288506</v>
      </c>
      <c r="B331" s="223" t="s">
        <v>4094</v>
      </c>
      <c r="C331" s="122" t="str">
        <f>"626824700065"</f>
        <v>626824700065</v>
      </c>
      <c r="D331" s="19" t="s">
        <v>37</v>
      </c>
      <c r="E331" s="145" t="s">
        <v>3367</v>
      </c>
      <c r="F331" s="200">
        <v>44684</v>
      </c>
    </row>
    <row r="332" spans="1:6" s="39" customFormat="1" ht="14.65" customHeight="1" x14ac:dyDescent="0.3">
      <c r="A332" s="224" t="str">
        <f>"0322032"</f>
        <v>0322032</v>
      </c>
      <c r="B332" s="223" t="s">
        <v>218</v>
      </c>
      <c r="C332" s="122" t="str">
        <f>"5411616000059"</f>
        <v>5411616000059</v>
      </c>
      <c r="D332" s="19" t="s">
        <v>48</v>
      </c>
      <c r="E332" s="145" t="s">
        <v>3367</v>
      </c>
      <c r="F332" s="200">
        <v>44677</v>
      </c>
    </row>
    <row r="333" spans="1:6" s="39" customFormat="1" ht="14.65" customHeight="1" x14ac:dyDescent="0.3">
      <c r="A333" s="224" t="str">
        <f>"0010133"</f>
        <v>0010133</v>
      </c>
      <c r="B333" s="223" t="s">
        <v>2159</v>
      </c>
      <c r="C333" s="122" t="str">
        <f>"675325000204"</f>
        <v>675325000204</v>
      </c>
      <c r="D333" s="19" t="s">
        <v>25</v>
      </c>
      <c r="E333" s="145" t="s">
        <v>3367</v>
      </c>
      <c r="F333" s="200">
        <v>44663</v>
      </c>
    </row>
    <row r="334" spans="1:6" s="39" customFormat="1" ht="29.7" customHeight="1" x14ac:dyDescent="0.3">
      <c r="A334" s="225">
        <v>508721</v>
      </c>
      <c r="B334" s="227" t="s">
        <v>4091</v>
      </c>
      <c r="C334" s="122">
        <v>620654132867</v>
      </c>
      <c r="D334" s="19" t="s">
        <v>202</v>
      </c>
      <c r="E334" s="184" t="s">
        <v>4092</v>
      </c>
      <c r="F334" s="200">
        <v>44677</v>
      </c>
    </row>
    <row r="335" spans="1:6" s="39" customFormat="1" x14ac:dyDescent="0.3">
      <c r="A335" s="224">
        <v>628214</v>
      </c>
      <c r="B335" s="223" t="s">
        <v>4090</v>
      </c>
      <c r="C335" s="122">
        <v>48162015593</v>
      </c>
      <c r="D335" s="19" t="s">
        <v>202</v>
      </c>
      <c r="E335" s="145" t="s">
        <v>3367</v>
      </c>
      <c r="F335" s="200">
        <v>44677</v>
      </c>
    </row>
    <row r="336" spans="1:6" s="39" customFormat="1" ht="14.65" customHeight="1" x14ac:dyDescent="0.3">
      <c r="A336" s="224">
        <v>20696</v>
      </c>
      <c r="B336" s="223" t="s">
        <v>4088</v>
      </c>
      <c r="C336" s="122">
        <v>628250062816</v>
      </c>
      <c r="D336" s="19" t="s">
        <v>4089</v>
      </c>
      <c r="E336" s="145" t="s">
        <v>3367</v>
      </c>
      <c r="F336" s="200">
        <v>44663</v>
      </c>
    </row>
    <row r="337" spans="1:6" s="39" customFormat="1" ht="14.65" customHeight="1" x14ac:dyDescent="0.3">
      <c r="A337" s="224">
        <v>15907</v>
      </c>
      <c r="B337" s="223" t="s">
        <v>4087</v>
      </c>
      <c r="C337" s="122">
        <v>63657040805</v>
      </c>
      <c r="D337" s="19" t="s">
        <v>202</v>
      </c>
      <c r="E337" s="145" t="s">
        <v>3367</v>
      </c>
      <c r="F337" s="200">
        <v>44677</v>
      </c>
    </row>
    <row r="338" spans="1:6" s="39" customFormat="1" ht="29.7" customHeight="1" x14ac:dyDescent="0.3">
      <c r="A338" s="225">
        <v>453084</v>
      </c>
      <c r="B338" s="226" t="s">
        <v>4085</v>
      </c>
      <c r="C338" s="122">
        <v>3185370000335</v>
      </c>
      <c r="D338" s="19" t="s">
        <v>202</v>
      </c>
      <c r="E338" s="184" t="s">
        <v>4086</v>
      </c>
      <c r="F338" s="200">
        <v>44684</v>
      </c>
    </row>
    <row r="339" spans="1:6" s="39" customFormat="1" ht="14.65" customHeight="1" x14ac:dyDescent="0.3">
      <c r="A339" s="224" t="str">
        <f>"0012458"</f>
        <v>0012458</v>
      </c>
      <c r="B339" s="223" t="s">
        <v>4084</v>
      </c>
      <c r="C339" s="122" t="str">
        <f>"627843469094"</f>
        <v>627843469094</v>
      </c>
      <c r="D339" s="19" t="s">
        <v>1620</v>
      </c>
      <c r="E339" s="145" t="s">
        <v>3367</v>
      </c>
      <c r="F339" s="200">
        <v>44663</v>
      </c>
    </row>
    <row r="340" spans="1:6" s="39" customFormat="1" ht="14.65" customHeight="1" x14ac:dyDescent="0.3">
      <c r="A340" s="224" t="str">
        <f>"0628875"</f>
        <v>0628875</v>
      </c>
      <c r="B340" s="223" t="s">
        <v>2978</v>
      </c>
      <c r="C340" s="122" t="str">
        <f>"627843091158"</f>
        <v>627843091158</v>
      </c>
      <c r="D340" s="19" t="s">
        <v>25</v>
      </c>
      <c r="E340" s="145" t="s">
        <v>3367</v>
      </c>
      <c r="F340" s="200">
        <v>44659</v>
      </c>
    </row>
    <row r="341" spans="1:6" s="39" customFormat="1" ht="27" customHeight="1" x14ac:dyDescent="0.3">
      <c r="A341" s="224" t="str">
        <f>"0485870"</f>
        <v>0485870</v>
      </c>
      <c r="B341" s="223" t="s">
        <v>4082</v>
      </c>
      <c r="C341" s="122" t="str">
        <f>"627843695486"</f>
        <v>627843695486</v>
      </c>
      <c r="D341" s="19" t="s">
        <v>25</v>
      </c>
      <c r="E341" s="172" t="s">
        <v>4083</v>
      </c>
      <c r="F341" s="200">
        <v>44677</v>
      </c>
    </row>
    <row r="342" spans="1:6" s="39" customFormat="1" ht="14.65" customHeight="1" x14ac:dyDescent="0.3">
      <c r="A342" s="224" t="str">
        <f>"0321877"</f>
        <v>0321877</v>
      </c>
      <c r="B342" s="223" t="s">
        <v>683</v>
      </c>
      <c r="C342" s="122" t="str">
        <f>"779446200472"</f>
        <v>779446200472</v>
      </c>
      <c r="D342" s="19" t="s">
        <v>25</v>
      </c>
      <c r="E342" s="145" t="s">
        <v>3367</v>
      </c>
      <c r="F342" s="200">
        <v>44677</v>
      </c>
    </row>
    <row r="343" spans="1:6" s="39" customFormat="1" ht="14.65" customHeight="1" x14ac:dyDescent="0.3">
      <c r="A343" s="224" t="str">
        <f>"0402545"</f>
        <v>0402545</v>
      </c>
      <c r="B343" s="223" t="s">
        <v>4081</v>
      </c>
      <c r="C343" s="122" t="str">
        <f>"5012686019394"</f>
        <v>5012686019394</v>
      </c>
      <c r="D343" s="19" t="s">
        <v>48</v>
      </c>
      <c r="E343" s="145" t="s">
        <v>3367</v>
      </c>
      <c r="F343" s="200">
        <v>44677</v>
      </c>
    </row>
    <row r="344" spans="1:6" s="39" customFormat="1" ht="14.65" customHeight="1" x14ac:dyDescent="0.3">
      <c r="A344" s="224">
        <v>10336</v>
      </c>
      <c r="B344" s="223" t="s">
        <v>4048</v>
      </c>
      <c r="C344" s="122" t="str">
        <f>"627987102413"</f>
        <v>627987102413</v>
      </c>
      <c r="D344" s="19" t="s">
        <v>1620</v>
      </c>
      <c r="E344" s="145" t="s">
        <v>3367</v>
      </c>
      <c r="F344" s="200">
        <v>44657</v>
      </c>
    </row>
    <row r="345" spans="1:6" s="39" customFormat="1" ht="14.65" customHeight="1" x14ac:dyDescent="0.3">
      <c r="A345" s="224">
        <v>10343</v>
      </c>
      <c r="B345" s="223" t="s">
        <v>4049</v>
      </c>
      <c r="C345" s="122" t="str">
        <f>"627987102390"</f>
        <v>627987102390</v>
      </c>
      <c r="D345" s="19" t="s">
        <v>1620</v>
      </c>
      <c r="E345" s="145" t="s">
        <v>3367</v>
      </c>
      <c r="F345" s="200">
        <v>44657</v>
      </c>
    </row>
    <row r="346" spans="1:6" s="39" customFormat="1" ht="14.65" customHeight="1" x14ac:dyDescent="0.3">
      <c r="A346" s="224">
        <v>10445</v>
      </c>
      <c r="B346" s="223" t="s">
        <v>4050</v>
      </c>
      <c r="C346" s="122" t="str">
        <f>"627843600961"</f>
        <v>627843600961</v>
      </c>
      <c r="D346" s="19" t="s">
        <v>25</v>
      </c>
      <c r="E346" s="145" t="s">
        <v>3367</v>
      </c>
      <c r="F346" s="200">
        <v>44657</v>
      </c>
    </row>
    <row r="347" spans="1:6" s="39" customFormat="1" ht="14.65" customHeight="1" x14ac:dyDescent="0.3">
      <c r="A347" s="224">
        <v>11167</v>
      </c>
      <c r="B347" s="223" t="s">
        <v>4051</v>
      </c>
      <c r="C347" s="122" t="str">
        <f>"855315005062"</f>
        <v>855315005062</v>
      </c>
      <c r="D347" s="19" t="s">
        <v>37</v>
      </c>
      <c r="E347" s="145" t="s">
        <v>3367</v>
      </c>
      <c r="F347" s="200">
        <v>44657</v>
      </c>
    </row>
    <row r="348" spans="1:6" s="39" customFormat="1" ht="14.65" customHeight="1" x14ac:dyDescent="0.3">
      <c r="A348" s="224">
        <v>11168</v>
      </c>
      <c r="B348" s="223" t="s">
        <v>4052</v>
      </c>
      <c r="C348" s="122" t="str">
        <f>"855315005123"</f>
        <v>855315005123</v>
      </c>
      <c r="D348" s="19" t="s">
        <v>37</v>
      </c>
      <c r="E348" s="145" t="s">
        <v>3367</v>
      </c>
      <c r="F348" s="200">
        <v>44657</v>
      </c>
    </row>
    <row r="349" spans="1:6" s="39" customFormat="1" ht="14.65" customHeight="1" x14ac:dyDescent="0.3">
      <c r="A349" s="224">
        <v>11169</v>
      </c>
      <c r="B349" s="223" t="s">
        <v>4053</v>
      </c>
      <c r="C349" s="122" t="str">
        <f>"855315005093"</f>
        <v>855315005093</v>
      </c>
      <c r="D349" s="19" t="s">
        <v>37</v>
      </c>
      <c r="E349" s="145" t="s">
        <v>3367</v>
      </c>
      <c r="F349" s="200">
        <v>44657</v>
      </c>
    </row>
    <row r="350" spans="1:6" s="39" customFormat="1" ht="14.65" customHeight="1" x14ac:dyDescent="0.3">
      <c r="A350" s="224">
        <v>11621</v>
      </c>
      <c r="B350" s="223" t="s">
        <v>4054</v>
      </c>
      <c r="C350" s="122" t="str">
        <f>"5060241040789"</f>
        <v>5060241040789</v>
      </c>
      <c r="D350" s="19" t="s">
        <v>48</v>
      </c>
      <c r="E350" s="145" t="s">
        <v>3367</v>
      </c>
      <c r="F350" s="200">
        <v>44657</v>
      </c>
    </row>
    <row r="351" spans="1:6" s="39" customFormat="1" ht="14.65" customHeight="1" x14ac:dyDescent="0.3">
      <c r="A351" s="224">
        <v>13533</v>
      </c>
      <c r="B351" s="223" t="s">
        <v>4055</v>
      </c>
      <c r="C351" s="122" t="str">
        <f>"627843722915"</f>
        <v>627843722915</v>
      </c>
      <c r="D351" s="19" t="s">
        <v>25</v>
      </c>
      <c r="E351" s="145" t="s">
        <v>3367</v>
      </c>
      <c r="F351" s="200">
        <v>44657</v>
      </c>
    </row>
    <row r="352" spans="1:6" s="39" customFormat="1" ht="14.65" customHeight="1" x14ac:dyDescent="0.3">
      <c r="A352" s="224">
        <v>13828</v>
      </c>
      <c r="B352" s="223" t="s">
        <v>4056</v>
      </c>
      <c r="C352" s="122" t="str">
        <f>"051497122171"</f>
        <v>051497122171</v>
      </c>
      <c r="D352" s="19" t="s">
        <v>137</v>
      </c>
      <c r="E352" s="145" t="s">
        <v>3367</v>
      </c>
      <c r="F352" s="200">
        <v>44657</v>
      </c>
    </row>
    <row r="353" spans="1:6" s="39" customFormat="1" ht="14.65" customHeight="1" x14ac:dyDescent="0.3">
      <c r="A353" s="224">
        <v>15634</v>
      </c>
      <c r="B353" s="223" t="s">
        <v>4057</v>
      </c>
      <c r="C353" s="122" t="str">
        <f>"855315005581"</f>
        <v>855315005581</v>
      </c>
      <c r="D353" s="19" t="s">
        <v>60</v>
      </c>
      <c r="E353" s="145" t="s">
        <v>3367</v>
      </c>
      <c r="F353" s="200">
        <v>44657</v>
      </c>
    </row>
    <row r="354" spans="1:6" s="39" customFormat="1" ht="14.65" customHeight="1" x14ac:dyDescent="0.3">
      <c r="A354" s="224">
        <v>15782</v>
      </c>
      <c r="B354" s="223" t="s">
        <v>4058</v>
      </c>
      <c r="C354" s="122" t="str">
        <f>"628176103020"</f>
        <v>628176103020</v>
      </c>
      <c r="D354" s="19" t="s">
        <v>1620</v>
      </c>
      <c r="E354" s="145" t="s">
        <v>3367</v>
      </c>
      <c r="F354" s="200">
        <v>44657</v>
      </c>
    </row>
    <row r="355" spans="1:6" s="39" customFormat="1" ht="14.65" customHeight="1" x14ac:dyDescent="0.3">
      <c r="A355" s="224">
        <v>15785</v>
      </c>
      <c r="B355" s="223" t="s">
        <v>4059</v>
      </c>
      <c r="C355" s="122" t="str">
        <f>"628176103013"</f>
        <v>628176103013</v>
      </c>
      <c r="D355" s="19" t="s">
        <v>1620</v>
      </c>
      <c r="E355" s="145" t="s">
        <v>3367</v>
      </c>
      <c r="F355" s="200">
        <v>44657</v>
      </c>
    </row>
    <row r="356" spans="1:6" s="39" customFormat="1" ht="14.65" customHeight="1" x14ac:dyDescent="0.3">
      <c r="A356" s="224">
        <v>15810</v>
      </c>
      <c r="B356" s="223" t="s">
        <v>4060</v>
      </c>
      <c r="C356" s="122" t="str">
        <f>"714343986562"</f>
        <v>714343986562</v>
      </c>
      <c r="D356" s="19" t="s">
        <v>25</v>
      </c>
      <c r="E356" s="145" t="s">
        <v>3367</v>
      </c>
      <c r="F356" s="200">
        <v>44657</v>
      </c>
    </row>
    <row r="357" spans="1:6" s="39" customFormat="1" ht="14.65" customHeight="1" x14ac:dyDescent="0.3">
      <c r="A357" s="224">
        <v>16756</v>
      </c>
      <c r="B357" s="223" t="s">
        <v>4061</v>
      </c>
      <c r="C357" s="122" t="str">
        <f>"627987315639"</f>
        <v>627987315639</v>
      </c>
      <c r="D357" s="19" t="s">
        <v>137</v>
      </c>
      <c r="E357" s="145" t="s">
        <v>3367</v>
      </c>
      <c r="F357" s="200">
        <v>44657</v>
      </c>
    </row>
    <row r="358" spans="1:6" s="39" customFormat="1" ht="14.65" customHeight="1" x14ac:dyDescent="0.3">
      <c r="A358" s="224">
        <v>17146</v>
      </c>
      <c r="B358" s="223" t="s">
        <v>4062</v>
      </c>
      <c r="C358" s="122" t="str">
        <f>"627843000037"</f>
        <v>627843000037</v>
      </c>
      <c r="D358" s="19" t="s">
        <v>25</v>
      </c>
      <c r="E358" s="145" t="s">
        <v>3367</v>
      </c>
      <c r="F358" s="200">
        <v>44657</v>
      </c>
    </row>
    <row r="359" spans="1:6" s="39" customFormat="1" ht="14.65" customHeight="1" x14ac:dyDescent="0.3">
      <c r="A359" s="224">
        <v>17147</v>
      </c>
      <c r="B359" s="223" t="s">
        <v>4063</v>
      </c>
      <c r="C359" s="122" t="str">
        <f>"627843000020"</f>
        <v>627843000020</v>
      </c>
      <c r="D359" s="19" t="s">
        <v>25</v>
      </c>
      <c r="E359" s="145" t="s">
        <v>3367</v>
      </c>
      <c r="F359" s="200">
        <v>44657</v>
      </c>
    </row>
    <row r="360" spans="1:6" s="39" customFormat="1" ht="14.65" customHeight="1" x14ac:dyDescent="0.3">
      <c r="A360" s="224">
        <v>17148</v>
      </c>
      <c r="B360" s="223" t="s">
        <v>4064</v>
      </c>
      <c r="C360" s="122" t="str">
        <f>"051497045289"</f>
        <v>051497045289</v>
      </c>
      <c r="D360" s="19" t="s">
        <v>25</v>
      </c>
      <c r="E360" s="145" t="s">
        <v>3367</v>
      </c>
      <c r="F360" s="200">
        <v>44657</v>
      </c>
    </row>
    <row r="361" spans="1:6" s="39" customFormat="1" ht="14.65" customHeight="1" x14ac:dyDescent="0.3">
      <c r="A361" s="224">
        <v>17258</v>
      </c>
      <c r="B361" s="223" t="s">
        <v>4065</v>
      </c>
      <c r="C361" s="122" t="str">
        <f>"627987315653"</f>
        <v>627987315653</v>
      </c>
      <c r="D361" s="19" t="s">
        <v>137</v>
      </c>
      <c r="E361" s="145" t="s">
        <v>3367</v>
      </c>
      <c r="F361" s="200">
        <v>44657</v>
      </c>
    </row>
    <row r="362" spans="1:6" s="39" customFormat="1" ht="14.65" customHeight="1" x14ac:dyDescent="0.3">
      <c r="A362" s="224">
        <v>17619</v>
      </c>
      <c r="B362" s="223" t="s">
        <v>4066</v>
      </c>
      <c r="C362" s="122" t="str">
        <f>"628250386011"</f>
        <v>628250386011</v>
      </c>
      <c r="D362" s="19" t="s">
        <v>25</v>
      </c>
      <c r="E362" s="145" t="s">
        <v>3367</v>
      </c>
      <c r="F362" s="200">
        <v>44657</v>
      </c>
    </row>
    <row r="363" spans="1:6" s="39" customFormat="1" ht="14.65" customHeight="1" x14ac:dyDescent="0.3">
      <c r="A363" s="224">
        <v>140707</v>
      </c>
      <c r="B363" s="223" t="s">
        <v>4067</v>
      </c>
      <c r="C363" s="122" t="str">
        <f>"081288500055"</f>
        <v>081288500055</v>
      </c>
      <c r="D363" s="19" t="s">
        <v>1739</v>
      </c>
      <c r="E363" s="145" t="s">
        <v>3367</v>
      </c>
      <c r="F363" s="200">
        <v>44657</v>
      </c>
    </row>
    <row r="364" spans="1:6" s="39" customFormat="1" ht="14.65" customHeight="1" x14ac:dyDescent="0.3">
      <c r="A364" s="224">
        <v>420224</v>
      </c>
      <c r="B364" s="223" t="s">
        <v>4068</v>
      </c>
      <c r="C364" s="122" t="str">
        <f>"627843470496"</f>
        <v>627843470496</v>
      </c>
      <c r="D364" s="19" t="s">
        <v>25</v>
      </c>
      <c r="E364" s="145" t="s">
        <v>3367</v>
      </c>
      <c r="F364" s="200">
        <v>44657</v>
      </c>
    </row>
    <row r="365" spans="1:6" s="39" customFormat="1" ht="14.65" customHeight="1" x14ac:dyDescent="0.3">
      <c r="A365" s="224">
        <v>426734</v>
      </c>
      <c r="B365" s="223" t="s">
        <v>4069</v>
      </c>
      <c r="C365" s="122" t="str">
        <f>"627843190042"</f>
        <v>627843190042</v>
      </c>
      <c r="D365" s="19" t="s">
        <v>202</v>
      </c>
      <c r="E365" s="145" t="s">
        <v>3367</v>
      </c>
      <c r="F365" s="200">
        <v>44657</v>
      </c>
    </row>
    <row r="366" spans="1:6" s="39" customFormat="1" ht="14.65" customHeight="1" x14ac:dyDescent="0.3">
      <c r="A366" s="224">
        <v>453977</v>
      </c>
      <c r="B366" s="223" t="s">
        <v>4070</v>
      </c>
      <c r="C366" s="122" t="str">
        <f>"627843470502"</f>
        <v>627843470502</v>
      </c>
      <c r="D366" s="19" t="s">
        <v>25</v>
      </c>
      <c r="E366" s="145" t="s">
        <v>3367</v>
      </c>
      <c r="F366" s="200">
        <v>44657</v>
      </c>
    </row>
    <row r="367" spans="1:6" s="39" customFormat="1" ht="14.65" customHeight="1" x14ac:dyDescent="0.3">
      <c r="A367" s="224">
        <v>462580</v>
      </c>
      <c r="B367" s="223" t="s">
        <v>935</v>
      </c>
      <c r="C367" s="122" t="str">
        <f>"882842000017"</f>
        <v>882842000017</v>
      </c>
      <c r="D367" s="19" t="s">
        <v>25</v>
      </c>
      <c r="E367" s="145" t="s">
        <v>3367</v>
      </c>
      <c r="F367" s="200">
        <v>44657</v>
      </c>
    </row>
    <row r="368" spans="1:6" s="39" customFormat="1" ht="14.65" customHeight="1" x14ac:dyDescent="0.3">
      <c r="A368" s="224">
        <v>476994</v>
      </c>
      <c r="B368" s="223" t="s">
        <v>4071</v>
      </c>
      <c r="C368" s="122" t="str">
        <f>"627843470519"</f>
        <v>627843470519</v>
      </c>
      <c r="D368" s="19" t="s">
        <v>25</v>
      </c>
      <c r="E368" s="145" t="s">
        <v>3367</v>
      </c>
      <c r="F368" s="200">
        <v>44657</v>
      </c>
    </row>
    <row r="369" spans="1:6" s="39" customFormat="1" ht="14.65" customHeight="1" x14ac:dyDescent="0.3">
      <c r="A369" s="224">
        <v>490466</v>
      </c>
      <c r="B369" s="223" t="s">
        <v>936</v>
      </c>
      <c r="C369" s="122" t="str">
        <f>"892760001126"</f>
        <v>892760001126</v>
      </c>
      <c r="D369" s="19" t="s">
        <v>25</v>
      </c>
      <c r="E369" s="145" t="s">
        <v>3367</v>
      </c>
      <c r="F369" s="200">
        <v>44657</v>
      </c>
    </row>
    <row r="370" spans="1:6" s="39" customFormat="1" ht="14.65" customHeight="1" x14ac:dyDescent="0.3">
      <c r="A370" s="224">
        <v>497446</v>
      </c>
      <c r="B370" s="223" t="s">
        <v>1221</v>
      </c>
      <c r="C370" s="122" t="str">
        <f>"874702000107"</f>
        <v>874702000107</v>
      </c>
      <c r="D370" s="19" t="s">
        <v>25</v>
      </c>
      <c r="E370" s="145" t="s">
        <v>3367</v>
      </c>
      <c r="F370" s="200">
        <v>44657</v>
      </c>
    </row>
    <row r="371" spans="1:6" s="39" customFormat="1" ht="14.65" customHeight="1" x14ac:dyDescent="0.3">
      <c r="A371" s="224">
        <v>508788</v>
      </c>
      <c r="B371" s="223" t="s">
        <v>4072</v>
      </c>
      <c r="C371" s="122" t="str">
        <f>"627843597032"</f>
        <v>627843597032</v>
      </c>
      <c r="D371" s="19" t="s">
        <v>25</v>
      </c>
      <c r="E371" s="145" t="s">
        <v>3367</v>
      </c>
      <c r="F371" s="200">
        <v>44657</v>
      </c>
    </row>
    <row r="372" spans="1:6" s="39" customFormat="1" ht="14.65" customHeight="1" x14ac:dyDescent="0.3">
      <c r="A372" s="224">
        <v>511444</v>
      </c>
      <c r="B372" s="223" t="s">
        <v>4073</v>
      </c>
      <c r="C372" s="122" t="str">
        <f>"627843597063"</f>
        <v>627843597063</v>
      </c>
      <c r="D372" s="19" t="s">
        <v>25</v>
      </c>
      <c r="E372" s="145" t="s">
        <v>3367</v>
      </c>
      <c r="F372" s="200">
        <v>44657</v>
      </c>
    </row>
    <row r="373" spans="1:6" s="39" customFormat="1" ht="14.65" customHeight="1" x14ac:dyDescent="0.3">
      <c r="A373" s="224">
        <v>519355</v>
      </c>
      <c r="B373" s="223" t="s">
        <v>4074</v>
      </c>
      <c r="C373" s="122" t="str">
        <f>"627843704553"</f>
        <v>627843704553</v>
      </c>
      <c r="D373" s="19" t="s">
        <v>555</v>
      </c>
      <c r="E373" s="145" t="s">
        <v>3367</v>
      </c>
      <c r="F373" s="200">
        <v>44657</v>
      </c>
    </row>
    <row r="374" spans="1:6" s="39" customFormat="1" ht="14.65" customHeight="1" x14ac:dyDescent="0.3">
      <c r="A374" s="224">
        <v>520510</v>
      </c>
      <c r="B374" s="223" t="s">
        <v>4075</v>
      </c>
      <c r="C374" s="122" t="str">
        <f>"040232390067"</f>
        <v>040232390067</v>
      </c>
      <c r="D374" s="19" t="s">
        <v>25</v>
      </c>
      <c r="E374" s="145" t="s">
        <v>3367</v>
      </c>
      <c r="F374" s="200">
        <v>44657</v>
      </c>
    </row>
    <row r="375" spans="1:6" s="39" customFormat="1" ht="14.65" customHeight="1" x14ac:dyDescent="0.3">
      <c r="A375" s="224">
        <v>539486</v>
      </c>
      <c r="B375" s="223" t="s">
        <v>4076</v>
      </c>
      <c r="C375" s="122" t="str">
        <f>"612520707804"</f>
        <v>612520707804</v>
      </c>
      <c r="D375" s="19" t="s">
        <v>25</v>
      </c>
      <c r="E375" s="145" t="s">
        <v>3367</v>
      </c>
      <c r="F375" s="200">
        <v>44657</v>
      </c>
    </row>
    <row r="376" spans="1:6" s="39" customFormat="1" ht="14.65" customHeight="1" x14ac:dyDescent="0.3">
      <c r="A376" s="224">
        <v>546440</v>
      </c>
      <c r="B376" s="223" t="s">
        <v>4061</v>
      </c>
      <c r="C376" s="122" t="str">
        <f>"051497018856"</f>
        <v>051497018856</v>
      </c>
      <c r="D376" s="19" t="s">
        <v>202</v>
      </c>
      <c r="E376" s="145" t="s">
        <v>3367</v>
      </c>
      <c r="F376" s="200">
        <v>44657</v>
      </c>
    </row>
    <row r="377" spans="1:6" s="39" customFormat="1" ht="14.65" customHeight="1" x14ac:dyDescent="0.3">
      <c r="A377" s="224">
        <v>573543</v>
      </c>
      <c r="B377" s="223" t="s">
        <v>4077</v>
      </c>
      <c r="C377" s="122" t="str">
        <f>"627843821892"</f>
        <v>627843821892</v>
      </c>
      <c r="D377" s="19" t="s">
        <v>25</v>
      </c>
      <c r="E377" s="145" t="s">
        <v>3367</v>
      </c>
      <c r="F377" s="200">
        <v>44657</v>
      </c>
    </row>
    <row r="378" spans="1:6" s="39" customFormat="1" ht="14.65" customHeight="1" x14ac:dyDescent="0.3">
      <c r="A378" s="224">
        <v>573923</v>
      </c>
      <c r="B378" s="223" t="s">
        <v>4078</v>
      </c>
      <c r="C378" s="122" t="str">
        <f>"627843722847"</f>
        <v>627843722847</v>
      </c>
      <c r="D378" s="19" t="s">
        <v>25</v>
      </c>
      <c r="E378" s="145" t="s">
        <v>3367</v>
      </c>
      <c r="F378" s="200">
        <v>44657</v>
      </c>
    </row>
    <row r="379" spans="1:6" s="39" customFormat="1" ht="14.65" customHeight="1" x14ac:dyDescent="0.3">
      <c r="A379" s="224">
        <v>617837</v>
      </c>
      <c r="B379" s="223" t="s">
        <v>4079</v>
      </c>
      <c r="C379" s="122" t="str">
        <f>"824824171025"</f>
        <v>824824171025</v>
      </c>
      <c r="D379" s="19" t="s">
        <v>25</v>
      </c>
      <c r="E379" s="145" t="s">
        <v>3367</v>
      </c>
      <c r="F379" s="200">
        <v>44657</v>
      </c>
    </row>
    <row r="380" spans="1:6" s="39" customFormat="1" ht="14.65" customHeight="1" x14ac:dyDescent="0.3">
      <c r="A380" s="224">
        <v>638536</v>
      </c>
      <c r="B380" s="223" t="s">
        <v>4080</v>
      </c>
      <c r="C380" s="122" t="str">
        <f>"628504361009"</f>
        <v>628504361009</v>
      </c>
      <c r="D380" s="19" t="s">
        <v>25</v>
      </c>
      <c r="E380" s="145" t="s">
        <v>3367</v>
      </c>
      <c r="F380" s="200">
        <v>44657</v>
      </c>
    </row>
    <row r="381" spans="1:6" s="39" customFormat="1" ht="14.65" customHeight="1" x14ac:dyDescent="0.3">
      <c r="A381" s="224" t="str">
        <f>"0013668"</f>
        <v>0013668</v>
      </c>
      <c r="B381" s="223" t="s">
        <v>2760</v>
      </c>
      <c r="C381" s="122" t="str">
        <f>"621433099043"</f>
        <v>621433099043</v>
      </c>
      <c r="D381" s="19" t="s">
        <v>25</v>
      </c>
      <c r="E381" s="145" t="s">
        <v>3367</v>
      </c>
      <c r="F381" s="200">
        <v>44677</v>
      </c>
    </row>
    <row r="382" spans="1:6" s="39" customFormat="1" ht="14.65" customHeight="1" x14ac:dyDescent="0.3">
      <c r="A382" s="224">
        <v>10708</v>
      </c>
      <c r="B382" s="223" t="s">
        <v>4019</v>
      </c>
      <c r="C382" s="122" t="str">
        <f>"064294811988"</f>
        <v>064294811988</v>
      </c>
      <c r="D382" s="19" t="s">
        <v>25</v>
      </c>
      <c r="E382" s="145" t="s">
        <v>3367</v>
      </c>
      <c r="F382" s="200">
        <v>44649</v>
      </c>
    </row>
    <row r="383" spans="1:6" s="39" customFormat="1" ht="14.65" customHeight="1" x14ac:dyDescent="0.3">
      <c r="A383" s="224">
        <v>10709</v>
      </c>
      <c r="B383" s="223" t="s">
        <v>4020</v>
      </c>
      <c r="C383" s="122" t="str">
        <f>"0702915000518"</f>
        <v>0702915000518</v>
      </c>
      <c r="D383" s="19" t="s">
        <v>37</v>
      </c>
      <c r="E383" s="145" t="s">
        <v>3367</v>
      </c>
      <c r="F383" s="200">
        <v>44649</v>
      </c>
    </row>
    <row r="384" spans="1:6" s="39" customFormat="1" ht="14.65" customHeight="1" x14ac:dyDescent="0.3">
      <c r="A384" s="224">
        <v>11347</v>
      </c>
      <c r="B384" s="223" t="s">
        <v>4021</v>
      </c>
      <c r="C384" s="122" t="str">
        <f>"627843546924"</f>
        <v>627843546924</v>
      </c>
      <c r="D384" s="19" t="s">
        <v>25</v>
      </c>
      <c r="E384" s="145" t="s">
        <v>3367</v>
      </c>
      <c r="F384" s="200">
        <v>44649</v>
      </c>
    </row>
    <row r="385" spans="1:6" s="39" customFormat="1" ht="14.65" customHeight="1" x14ac:dyDescent="0.3">
      <c r="A385" s="224">
        <v>13420</v>
      </c>
      <c r="B385" s="223" t="s">
        <v>2898</v>
      </c>
      <c r="C385" s="122" t="str">
        <f>"628250784268"</f>
        <v>628250784268</v>
      </c>
      <c r="D385" s="19" t="s">
        <v>25</v>
      </c>
      <c r="E385" s="145" t="s">
        <v>3367</v>
      </c>
      <c r="F385" s="200">
        <v>44649</v>
      </c>
    </row>
    <row r="386" spans="1:6" s="39" customFormat="1" ht="14.65" customHeight="1" x14ac:dyDescent="0.3">
      <c r="A386" s="224">
        <v>13679</v>
      </c>
      <c r="B386" s="223" t="s">
        <v>4022</v>
      </c>
      <c r="C386" s="122" t="str">
        <f>"627843546290"</f>
        <v>627843546290</v>
      </c>
      <c r="D386" s="19" t="s">
        <v>25</v>
      </c>
      <c r="E386" s="145" t="s">
        <v>3367</v>
      </c>
      <c r="F386" s="200">
        <v>44649</v>
      </c>
    </row>
    <row r="387" spans="1:6" s="39" customFormat="1" ht="14.65" customHeight="1" x14ac:dyDescent="0.3">
      <c r="A387" s="224">
        <v>13738</v>
      </c>
      <c r="B387" s="223" t="s">
        <v>4023</v>
      </c>
      <c r="C387" s="122" t="str">
        <f>"625640214534"</f>
        <v>625640214534</v>
      </c>
      <c r="D387" s="19" t="s">
        <v>25</v>
      </c>
      <c r="E387" s="145" t="s">
        <v>3367</v>
      </c>
      <c r="F387" s="200">
        <v>44649</v>
      </c>
    </row>
    <row r="388" spans="1:6" s="39" customFormat="1" ht="14.65" customHeight="1" x14ac:dyDescent="0.3">
      <c r="A388" s="224">
        <v>15096</v>
      </c>
      <c r="B388" s="223" t="s">
        <v>4024</v>
      </c>
      <c r="C388" s="122" t="str">
        <f>"874702000190"</f>
        <v>874702000190</v>
      </c>
      <c r="D388" s="19" t="s">
        <v>25</v>
      </c>
      <c r="E388" s="145" t="s">
        <v>3367</v>
      </c>
      <c r="F388" s="200">
        <v>44649</v>
      </c>
    </row>
    <row r="389" spans="1:6" s="39" customFormat="1" ht="14.65" customHeight="1" x14ac:dyDescent="0.3">
      <c r="A389" s="224">
        <v>15698</v>
      </c>
      <c r="B389" s="223" t="s">
        <v>4025</v>
      </c>
      <c r="C389" s="122" t="str">
        <f>"062067380488"</f>
        <v>062067380488</v>
      </c>
      <c r="D389" s="19" t="s">
        <v>25</v>
      </c>
      <c r="E389" s="145" t="s">
        <v>3367</v>
      </c>
      <c r="F389" s="200">
        <v>44649</v>
      </c>
    </row>
    <row r="390" spans="1:6" s="39" customFormat="1" ht="14.65" customHeight="1" x14ac:dyDescent="0.3">
      <c r="A390" s="224">
        <v>16143</v>
      </c>
      <c r="B390" s="223" t="s">
        <v>4026</v>
      </c>
      <c r="C390" s="122" t="str">
        <f>"685757999588"</f>
        <v>685757999588</v>
      </c>
      <c r="D390" s="19" t="s">
        <v>25</v>
      </c>
      <c r="E390" s="145" t="s">
        <v>3367</v>
      </c>
      <c r="F390" s="200">
        <v>44649</v>
      </c>
    </row>
    <row r="391" spans="1:6" s="39" customFormat="1" ht="14.65" customHeight="1" x14ac:dyDescent="0.3">
      <c r="A391" s="224">
        <v>16424</v>
      </c>
      <c r="B391" s="223" t="s">
        <v>4027</v>
      </c>
      <c r="C391" s="122" t="str">
        <f>"627843639282"</f>
        <v>627843639282</v>
      </c>
      <c r="D391" s="19" t="s">
        <v>25</v>
      </c>
      <c r="E391" s="145" t="s">
        <v>3367</v>
      </c>
      <c r="F391" s="200">
        <v>44649</v>
      </c>
    </row>
    <row r="392" spans="1:6" s="39" customFormat="1" ht="14.65" customHeight="1" x14ac:dyDescent="0.3">
      <c r="A392" s="224">
        <v>16426</v>
      </c>
      <c r="B392" s="223" t="s">
        <v>4028</v>
      </c>
      <c r="C392" s="122" t="str">
        <f>"628176660028"</f>
        <v>628176660028</v>
      </c>
      <c r="D392" s="19" t="s">
        <v>25</v>
      </c>
      <c r="E392" s="145" t="s">
        <v>3367</v>
      </c>
      <c r="F392" s="200">
        <v>44649</v>
      </c>
    </row>
    <row r="393" spans="1:6" s="39" customFormat="1" ht="14.65" customHeight="1" x14ac:dyDescent="0.3">
      <c r="A393" s="224">
        <v>16886</v>
      </c>
      <c r="B393" s="223" t="s">
        <v>4029</v>
      </c>
      <c r="C393" s="122" t="str">
        <f>"7350064994177"</f>
        <v>7350064994177</v>
      </c>
      <c r="D393" s="19" t="s">
        <v>25</v>
      </c>
      <c r="E393" s="145" t="s">
        <v>3367</v>
      </c>
      <c r="F393" s="200">
        <v>44649</v>
      </c>
    </row>
    <row r="394" spans="1:6" s="39" customFormat="1" ht="14.65" customHeight="1" x14ac:dyDescent="0.3">
      <c r="A394" s="224">
        <v>16937</v>
      </c>
      <c r="B394" s="223" t="s">
        <v>4030</v>
      </c>
      <c r="C394" s="122" t="str">
        <f>"7350064994047"</f>
        <v>7350064994047</v>
      </c>
      <c r="D394" s="19" t="s">
        <v>25</v>
      </c>
      <c r="E394" s="145" t="s">
        <v>3367</v>
      </c>
      <c r="F394" s="200">
        <v>44649</v>
      </c>
    </row>
    <row r="395" spans="1:6" s="39" customFormat="1" ht="14.65" customHeight="1" x14ac:dyDescent="0.3">
      <c r="A395" s="224">
        <v>17505</v>
      </c>
      <c r="B395" s="223" t="s">
        <v>4031</v>
      </c>
      <c r="C395" s="122" t="str">
        <f>"834873000290"</f>
        <v>834873000290</v>
      </c>
      <c r="D395" s="19" t="s">
        <v>25</v>
      </c>
      <c r="E395" s="145" t="s">
        <v>3367</v>
      </c>
      <c r="F395" s="200">
        <v>44649</v>
      </c>
    </row>
    <row r="396" spans="1:6" s="39" customFormat="1" ht="14.65" customHeight="1" x14ac:dyDescent="0.3">
      <c r="A396" s="224">
        <v>18346</v>
      </c>
      <c r="B396" s="223" t="s">
        <v>4032</v>
      </c>
      <c r="C396" s="122" t="str">
        <f>"628250784305"</f>
        <v>628250784305</v>
      </c>
      <c r="D396" s="19" t="s">
        <v>1620</v>
      </c>
      <c r="E396" s="145" t="s">
        <v>3367</v>
      </c>
      <c r="F396" s="200">
        <v>44649</v>
      </c>
    </row>
    <row r="397" spans="1:6" s="39" customFormat="1" ht="14.65" customHeight="1" x14ac:dyDescent="0.3">
      <c r="A397" s="224">
        <v>20025</v>
      </c>
      <c r="B397" s="223" t="s">
        <v>4033</v>
      </c>
      <c r="C397" s="122" t="str">
        <f>"628110756145"</f>
        <v>628110756145</v>
      </c>
      <c r="D397" s="19" t="s">
        <v>25</v>
      </c>
      <c r="E397" s="145" t="s">
        <v>3367</v>
      </c>
      <c r="F397" s="200">
        <v>44649</v>
      </c>
    </row>
    <row r="398" spans="1:6" s="39" customFormat="1" ht="14.65" customHeight="1" x14ac:dyDescent="0.3">
      <c r="A398" s="224">
        <v>145904</v>
      </c>
      <c r="B398" s="223" t="s">
        <v>4034</v>
      </c>
      <c r="C398" s="122" t="str">
        <f>"070310000878"</f>
        <v>070310000878</v>
      </c>
      <c r="D398" s="19" t="s">
        <v>37</v>
      </c>
      <c r="E398" s="145" t="s">
        <v>3367</v>
      </c>
      <c r="F398" s="200">
        <v>44649</v>
      </c>
    </row>
    <row r="399" spans="1:6" s="39" customFormat="1" ht="14.65" customHeight="1" x14ac:dyDescent="0.3">
      <c r="A399" s="224">
        <v>449090</v>
      </c>
      <c r="B399" s="223" t="s">
        <v>2689</v>
      </c>
      <c r="C399" s="122" t="str">
        <f>"625640047347"</f>
        <v>625640047347</v>
      </c>
      <c r="D399" s="19" t="s">
        <v>124</v>
      </c>
      <c r="E399" s="145" t="s">
        <v>3367</v>
      </c>
      <c r="F399" s="200">
        <v>44649</v>
      </c>
    </row>
    <row r="400" spans="1:6" s="39" customFormat="1" ht="14.65" customHeight="1" x14ac:dyDescent="0.3">
      <c r="A400" s="224">
        <v>450221</v>
      </c>
      <c r="B400" s="223" t="s">
        <v>4035</v>
      </c>
      <c r="C400" s="122" t="str">
        <f>"627843371984"</f>
        <v>627843371984</v>
      </c>
      <c r="D400" s="19" t="s">
        <v>98</v>
      </c>
      <c r="E400" s="145" t="s">
        <v>3367</v>
      </c>
      <c r="F400" s="200">
        <v>44649</v>
      </c>
    </row>
    <row r="401" spans="1:6" s="39" customFormat="1" ht="14.65" customHeight="1" x14ac:dyDescent="0.3">
      <c r="A401" s="224">
        <v>464255</v>
      </c>
      <c r="B401" s="223" t="s">
        <v>4036</v>
      </c>
      <c r="C401" s="122" t="str">
        <f>"627843405092"</f>
        <v>627843405092</v>
      </c>
      <c r="D401" s="19" t="s">
        <v>25</v>
      </c>
      <c r="E401" s="145" t="s">
        <v>3367</v>
      </c>
      <c r="F401" s="200">
        <v>44649</v>
      </c>
    </row>
    <row r="402" spans="1:6" s="39" customFormat="1" ht="14.65" customHeight="1" x14ac:dyDescent="0.3">
      <c r="A402" s="224">
        <v>484410</v>
      </c>
      <c r="B402" s="223" t="s">
        <v>4037</v>
      </c>
      <c r="C402" s="122" t="str">
        <f>"064294832259"</f>
        <v>064294832259</v>
      </c>
      <c r="D402" s="19" t="s">
        <v>25</v>
      </c>
      <c r="E402" s="145" t="s">
        <v>3367</v>
      </c>
      <c r="F402" s="200">
        <v>44649</v>
      </c>
    </row>
    <row r="403" spans="1:6" s="39" customFormat="1" ht="14.65" customHeight="1" x14ac:dyDescent="0.3">
      <c r="A403" s="224">
        <v>489310</v>
      </c>
      <c r="B403" s="223" t="s">
        <v>4038</v>
      </c>
      <c r="C403" s="122" t="str">
        <f>"627843706922"</f>
        <v>627843706922</v>
      </c>
      <c r="D403" s="19" t="s">
        <v>202</v>
      </c>
      <c r="E403" s="145" t="s">
        <v>3367</v>
      </c>
      <c r="F403" s="200">
        <v>44649</v>
      </c>
    </row>
    <row r="404" spans="1:6" s="39" customFormat="1" ht="14.65" customHeight="1" x14ac:dyDescent="0.3">
      <c r="A404" s="224">
        <v>534040</v>
      </c>
      <c r="B404" s="223" t="s">
        <v>4039</v>
      </c>
      <c r="C404" s="122" t="str">
        <f>"627843550013"</f>
        <v>627843550013</v>
      </c>
      <c r="D404" s="19" t="s">
        <v>25</v>
      </c>
      <c r="E404" s="145" t="s">
        <v>3367</v>
      </c>
      <c r="F404" s="200">
        <v>44649</v>
      </c>
    </row>
    <row r="405" spans="1:6" s="39" customFormat="1" ht="14.65" customHeight="1" x14ac:dyDescent="0.3">
      <c r="A405" s="224">
        <v>549808</v>
      </c>
      <c r="B405" s="223" t="s">
        <v>4040</v>
      </c>
      <c r="C405" s="122" t="str">
        <f>"628110917300"</f>
        <v>628110917300</v>
      </c>
      <c r="D405" s="19" t="s">
        <v>25</v>
      </c>
      <c r="E405" s="145" t="s">
        <v>3367</v>
      </c>
      <c r="F405" s="200">
        <v>44649</v>
      </c>
    </row>
    <row r="406" spans="1:6" s="39" customFormat="1" ht="14.65" customHeight="1" x14ac:dyDescent="0.3">
      <c r="A406" s="224">
        <v>559997</v>
      </c>
      <c r="B406" s="223" t="s">
        <v>4041</v>
      </c>
      <c r="C406" s="122" t="str">
        <f>"620707106937"</f>
        <v>620707106937</v>
      </c>
      <c r="D406" s="19" t="s">
        <v>98</v>
      </c>
      <c r="E406" s="145" t="s">
        <v>3367</v>
      </c>
      <c r="F406" s="200">
        <v>44649</v>
      </c>
    </row>
    <row r="407" spans="1:6" s="39" customFormat="1" ht="14.65" customHeight="1" x14ac:dyDescent="0.3">
      <c r="A407" s="224">
        <v>577619</v>
      </c>
      <c r="B407" s="223" t="s">
        <v>4042</v>
      </c>
      <c r="C407" s="122" t="str">
        <f>"627843546931"</f>
        <v>627843546931</v>
      </c>
      <c r="D407" s="19" t="s">
        <v>25</v>
      </c>
      <c r="E407" s="145" t="s">
        <v>3367</v>
      </c>
      <c r="F407" s="200">
        <v>44649</v>
      </c>
    </row>
    <row r="408" spans="1:6" s="39" customFormat="1" ht="14.65" customHeight="1" x14ac:dyDescent="0.3">
      <c r="A408" s="224">
        <v>617613</v>
      </c>
      <c r="B408" s="223" t="s">
        <v>4043</v>
      </c>
      <c r="C408" s="122" t="str">
        <f>"628250931006"</f>
        <v>628250931006</v>
      </c>
      <c r="D408" s="19" t="s">
        <v>25</v>
      </c>
      <c r="E408" s="145" t="s">
        <v>3367</v>
      </c>
      <c r="F408" s="200">
        <v>44649</v>
      </c>
    </row>
    <row r="409" spans="1:6" s="39" customFormat="1" ht="14.65" customHeight="1" x14ac:dyDescent="0.3">
      <c r="A409" s="224">
        <v>635268</v>
      </c>
      <c r="B409" s="223" t="s">
        <v>4044</v>
      </c>
      <c r="C409" s="122" t="str">
        <f>"627843677499"</f>
        <v>627843677499</v>
      </c>
      <c r="D409" s="19" t="s">
        <v>25</v>
      </c>
      <c r="E409" s="145" t="s">
        <v>3367</v>
      </c>
      <c r="F409" s="200">
        <v>44649</v>
      </c>
    </row>
    <row r="410" spans="1:6" s="39" customFormat="1" ht="14.65" customHeight="1" x14ac:dyDescent="0.3">
      <c r="A410" s="224">
        <v>639765</v>
      </c>
      <c r="B410" s="223" t="s">
        <v>4045</v>
      </c>
      <c r="C410" s="122" t="str">
        <f>"627843469070"</f>
        <v>627843469070</v>
      </c>
      <c r="D410" s="19" t="s">
        <v>1620</v>
      </c>
      <c r="E410" s="145" t="s">
        <v>3367</v>
      </c>
      <c r="F410" s="200">
        <v>44649</v>
      </c>
    </row>
    <row r="411" spans="1:6" s="39" customFormat="1" ht="14.65" customHeight="1" x14ac:dyDescent="0.3">
      <c r="A411" s="224">
        <v>644351</v>
      </c>
      <c r="B411" s="223" t="s">
        <v>4046</v>
      </c>
      <c r="C411" s="122" t="str">
        <f>"627843396383"</f>
        <v>627843396383</v>
      </c>
      <c r="D411" s="19" t="s">
        <v>1620</v>
      </c>
      <c r="E411" s="145" t="s">
        <v>3367</v>
      </c>
      <c r="F411" s="200">
        <v>44649</v>
      </c>
    </row>
    <row r="412" spans="1:6" s="39" customFormat="1" ht="14.65" customHeight="1" x14ac:dyDescent="0.3">
      <c r="A412" s="224">
        <v>688168</v>
      </c>
      <c r="B412" s="223" t="s">
        <v>4047</v>
      </c>
      <c r="C412" s="122" t="str">
        <f>"774837220268"</f>
        <v>774837220268</v>
      </c>
      <c r="D412" s="19" t="s">
        <v>37</v>
      </c>
      <c r="E412" s="145" t="s">
        <v>3367</v>
      </c>
      <c r="F412" s="200">
        <v>44649</v>
      </c>
    </row>
    <row r="413" spans="1:6" s="39" customFormat="1" ht="14.65" customHeight="1" x14ac:dyDescent="0.3">
      <c r="A413" s="224" t="str">
        <f>"0016636"</f>
        <v>0016636</v>
      </c>
      <c r="B413" s="223" t="s">
        <v>4016</v>
      </c>
      <c r="C413" s="122" t="str">
        <f>"186360010221"</f>
        <v>186360010221</v>
      </c>
      <c r="D413" s="19" t="s">
        <v>98</v>
      </c>
      <c r="E413" s="145" t="s">
        <v>3367</v>
      </c>
      <c r="F413" s="200">
        <v>44663</v>
      </c>
    </row>
    <row r="414" spans="1:6" s="39" customFormat="1" ht="14.65" customHeight="1" x14ac:dyDescent="0.3">
      <c r="A414" s="224" t="str">
        <f>"0020124"</f>
        <v>0020124</v>
      </c>
      <c r="B414" s="223" t="s">
        <v>4017</v>
      </c>
      <c r="C414" s="122" t="str">
        <f>"186360051095"</f>
        <v>186360051095</v>
      </c>
      <c r="D414" s="19" t="s">
        <v>25</v>
      </c>
      <c r="E414" s="145" t="s">
        <v>3367</v>
      </c>
      <c r="F414" s="200">
        <v>44663</v>
      </c>
    </row>
    <row r="415" spans="1:6" s="39" customFormat="1" ht="14.65" customHeight="1" x14ac:dyDescent="0.3">
      <c r="A415" s="224" t="str">
        <f>"0021685"</f>
        <v>0021685</v>
      </c>
      <c r="B415" s="223" t="s">
        <v>4018</v>
      </c>
      <c r="C415" s="122" t="str">
        <f>"186360050890"</f>
        <v>186360050890</v>
      </c>
      <c r="D415" s="19" t="s">
        <v>25</v>
      </c>
      <c r="E415" s="145" t="s">
        <v>3367</v>
      </c>
      <c r="F415" s="200">
        <v>44663</v>
      </c>
    </row>
    <row r="416" spans="1:6" s="39" customFormat="1" ht="14.65" customHeight="1" x14ac:dyDescent="0.3">
      <c r="A416" s="224" t="str">
        <f>"0022785"</f>
        <v>0022785</v>
      </c>
      <c r="B416" s="223" t="s">
        <v>3860</v>
      </c>
      <c r="C416" s="122" t="str">
        <f>"186360051583"</f>
        <v>186360051583</v>
      </c>
      <c r="D416" s="19" t="s">
        <v>25</v>
      </c>
      <c r="E416" s="145" t="s">
        <v>3367</v>
      </c>
      <c r="F416" s="200">
        <v>44663</v>
      </c>
    </row>
    <row r="417" spans="1:6" s="39" customFormat="1" ht="14.65" customHeight="1" x14ac:dyDescent="0.3">
      <c r="A417" s="224" t="str">
        <f>"0020233"</f>
        <v>0020233</v>
      </c>
      <c r="B417" s="223" t="s">
        <v>2605</v>
      </c>
      <c r="C417" s="122" t="str">
        <f>"855315006663"</f>
        <v>855315006663</v>
      </c>
      <c r="D417" s="19" t="s">
        <v>98</v>
      </c>
      <c r="E417" s="145" t="s">
        <v>3367</v>
      </c>
      <c r="F417" s="200">
        <v>44663</v>
      </c>
    </row>
    <row r="418" spans="1:6" s="39" customFormat="1" ht="14.65" customHeight="1" x14ac:dyDescent="0.3">
      <c r="A418" s="224" t="str">
        <f>"0015261"</f>
        <v>0015261</v>
      </c>
      <c r="B418" s="223" t="s">
        <v>4015</v>
      </c>
      <c r="C418" s="122" t="str">
        <f>"087692000846"</f>
        <v>087692000846</v>
      </c>
      <c r="D418" s="19" t="s">
        <v>25</v>
      </c>
      <c r="E418" s="145" t="s">
        <v>3367</v>
      </c>
      <c r="F418" s="200">
        <v>44656</v>
      </c>
    </row>
    <row r="419" spans="1:6" s="39" customFormat="1" ht="27" customHeight="1" x14ac:dyDescent="0.3">
      <c r="A419" s="224" t="str">
        <f>"0020013"</f>
        <v>0020013</v>
      </c>
      <c r="B419" s="223" t="s">
        <v>4004</v>
      </c>
      <c r="C419" s="122" t="str">
        <f>"5391500602210"</f>
        <v>5391500602210</v>
      </c>
      <c r="D419" s="19" t="s">
        <v>60</v>
      </c>
      <c r="E419" s="172" t="s">
        <v>4014</v>
      </c>
      <c r="F419" s="200">
        <v>44656</v>
      </c>
    </row>
    <row r="420" spans="1:6" s="39" customFormat="1" ht="14.65" customHeight="1" x14ac:dyDescent="0.3">
      <c r="A420" s="224">
        <v>24507</v>
      </c>
      <c r="B420" s="223" t="s">
        <v>4012</v>
      </c>
      <c r="C420" s="122">
        <v>628028020598</v>
      </c>
      <c r="D420" s="19" t="s">
        <v>25</v>
      </c>
      <c r="E420" s="145" t="s">
        <v>4013</v>
      </c>
      <c r="F420" s="200">
        <v>44642</v>
      </c>
    </row>
    <row r="421" spans="1:6" s="39" customFormat="1" ht="14.65" customHeight="1" x14ac:dyDescent="0.3">
      <c r="A421" s="224">
        <v>292110</v>
      </c>
      <c r="B421" s="223" t="s">
        <v>4011</v>
      </c>
      <c r="C421" s="122">
        <v>7790762050117</v>
      </c>
      <c r="D421" s="19" t="s">
        <v>202</v>
      </c>
      <c r="E421" s="145" t="s">
        <v>3367</v>
      </c>
      <c r="F421" s="200">
        <v>44649</v>
      </c>
    </row>
    <row r="422" spans="1:6" s="39" customFormat="1" ht="14.65" customHeight="1" x14ac:dyDescent="0.3">
      <c r="A422" s="224" t="str">
        <f>"0019964"</f>
        <v>0019964</v>
      </c>
      <c r="B422" s="223" t="s">
        <v>4010</v>
      </c>
      <c r="C422" s="122" t="str">
        <f>"063657042854"</f>
        <v>063657042854</v>
      </c>
      <c r="D422" s="19" t="s">
        <v>25</v>
      </c>
      <c r="E422" s="145" t="s">
        <v>3367</v>
      </c>
      <c r="F422" s="200">
        <v>44656</v>
      </c>
    </row>
    <row r="423" spans="1:6" s="39" customFormat="1" ht="14.1" customHeight="1" x14ac:dyDescent="0.3">
      <c r="A423" s="224" t="str">
        <f>"0025047"</f>
        <v>0025047</v>
      </c>
      <c r="B423" s="223" t="s">
        <v>4008</v>
      </c>
      <c r="C423" s="122" t="str">
        <f>"628669093432"</f>
        <v>628669093432</v>
      </c>
      <c r="D423" s="19" t="s">
        <v>25</v>
      </c>
      <c r="E423" s="145" t="s">
        <v>4009</v>
      </c>
      <c r="F423" s="200">
        <v>44636</v>
      </c>
    </row>
    <row r="424" spans="1:6" s="39" customFormat="1" ht="27" customHeight="1" x14ac:dyDescent="0.3">
      <c r="A424" s="224" t="str">
        <f>"0012457"</f>
        <v>0012457</v>
      </c>
      <c r="B424" s="223" t="s">
        <v>4006</v>
      </c>
      <c r="C424" s="122" t="str">
        <f>"727530564115"</f>
        <v>727530564115</v>
      </c>
      <c r="D424" s="19" t="s">
        <v>25</v>
      </c>
      <c r="E424" s="172" t="s">
        <v>4007</v>
      </c>
      <c r="F424" s="200">
        <v>44635</v>
      </c>
    </row>
    <row r="425" spans="1:6" s="39" customFormat="1" ht="14.65" customHeight="1" x14ac:dyDescent="0.3">
      <c r="A425" s="224" t="str">
        <f>"0020013"</f>
        <v>0020013</v>
      </c>
      <c r="B425" s="223" t="s">
        <v>4004</v>
      </c>
      <c r="C425" s="122" t="str">
        <f>"5391500602210"</f>
        <v>5391500602210</v>
      </c>
      <c r="D425" s="19" t="s">
        <v>60</v>
      </c>
      <c r="E425" s="145" t="s">
        <v>4005</v>
      </c>
      <c r="F425" s="200">
        <v>44649</v>
      </c>
    </row>
    <row r="426" spans="1:6" s="39" customFormat="1" ht="14.1" customHeight="1" x14ac:dyDescent="0.3">
      <c r="A426" s="224" t="str">
        <f>"0020185"</f>
        <v>0020185</v>
      </c>
      <c r="B426" s="223" t="s">
        <v>4003</v>
      </c>
      <c r="C426" s="218" t="str">
        <f>"855315006526"</f>
        <v>855315006526</v>
      </c>
      <c r="D426" s="19" t="s">
        <v>25</v>
      </c>
      <c r="E426" s="145" t="s">
        <v>3367</v>
      </c>
      <c r="F426" s="200">
        <v>44649</v>
      </c>
    </row>
    <row r="427" spans="1:6" s="39" customFormat="1" ht="14.1" customHeight="1" x14ac:dyDescent="0.3">
      <c r="A427" s="224">
        <v>628172</v>
      </c>
      <c r="B427" s="223" t="s">
        <v>4002</v>
      </c>
      <c r="C427" s="218">
        <v>7340118200071</v>
      </c>
      <c r="D427" s="19" t="s">
        <v>202</v>
      </c>
      <c r="E427" s="145" t="s">
        <v>3367</v>
      </c>
      <c r="F427" s="200">
        <v>44635</v>
      </c>
    </row>
    <row r="428" spans="1:6" s="39" customFormat="1" ht="14.1" customHeight="1" x14ac:dyDescent="0.3">
      <c r="A428" s="224" t="str">
        <f>"0142000"</f>
        <v>0142000</v>
      </c>
      <c r="B428" s="223" t="s">
        <v>3996</v>
      </c>
      <c r="C428" s="218" t="str">
        <f>"852500001700"</f>
        <v>852500001700</v>
      </c>
      <c r="D428" s="19" t="s">
        <v>25</v>
      </c>
      <c r="E428" s="145" t="s">
        <v>3367</v>
      </c>
      <c r="F428" s="200">
        <v>44649</v>
      </c>
    </row>
    <row r="429" spans="1:6" s="39" customFormat="1" ht="14.1" customHeight="1" x14ac:dyDescent="0.3">
      <c r="A429" s="224" t="str">
        <f>"0573634"</f>
        <v>0573634</v>
      </c>
      <c r="B429" s="223" t="s">
        <v>3997</v>
      </c>
      <c r="C429" s="218" t="str">
        <f>"852500001649"</f>
        <v>852500001649</v>
      </c>
      <c r="D429" s="19" t="s">
        <v>48</v>
      </c>
      <c r="E429" s="145" t="s">
        <v>3367</v>
      </c>
      <c r="F429" s="200">
        <v>44649</v>
      </c>
    </row>
    <row r="430" spans="1:6" s="39" customFormat="1" ht="14.1" customHeight="1" x14ac:dyDescent="0.3">
      <c r="A430" s="224" t="str">
        <f>"0481739"</f>
        <v>0481739</v>
      </c>
      <c r="B430" s="223" t="s">
        <v>3998</v>
      </c>
      <c r="C430" s="218" t="str">
        <f>"852500001267"</f>
        <v>852500001267</v>
      </c>
      <c r="D430" s="19" t="s">
        <v>25</v>
      </c>
      <c r="E430" s="145" t="s">
        <v>3367</v>
      </c>
      <c r="F430" s="200">
        <v>44632</v>
      </c>
    </row>
    <row r="431" spans="1:6" s="39" customFormat="1" ht="14.1" customHeight="1" x14ac:dyDescent="0.3">
      <c r="A431" s="224" t="str">
        <f>"0574913"</f>
        <v>0574913</v>
      </c>
      <c r="B431" s="223" t="s">
        <v>3999</v>
      </c>
      <c r="C431" s="218" t="str">
        <f>"852500001632"</f>
        <v>852500001632</v>
      </c>
      <c r="D431" s="19" t="s">
        <v>25</v>
      </c>
      <c r="E431" s="145" t="s">
        <v>3367</v>
      </c>
      <c r="F431" s="200">
        <v>44632</v>
      </c>
    </row>
    <row r="432" spans="1:6" s="39" customFormat="1" ht="14.1" customHeight="1" x14ac:dyDescent="0.3">
      <c r="A432" s="224" t="str">
        <f>"0578120"</f>
        <v>0578120</v>
      </c>
      <c r="B432" s="223" t="s">
        <v>4000</v>
      </c>
      <c r="C432" s="218" t="str">
        <f>"852500001656"</f>
        <v>852500001656</v>
      </c>
      <c r="D432" s="19" t="s">
        <v>48</v>
      </c>
      <c r="E432" s="145" t="s">
        <v>3367</v>
      </c>
      <c r="F432" s="200">
        <v>44632</v>
      </c>
    </row>
    <row r="433" spans="1:6" s="39" customFormat="1" ht="14.1" customHeight="1" x14ac:dyDescent="0.3">
      <c r="A433" s="224" t="str">
        <f>"0020555"</f>
        <v>0020555</v>
      </c>
      <c r="B433" s="223" t="s">
        <v>4001</v>
      </c>
      <c r="C433" s="218" t="str">
        <f>"727530567352"</f>
        <v>727530567352</v>
      </c>
      <c r="D433" s="19" t="s">
        <v>25</v>
      </c>
      <c r="E433" s="145" t="s">
        <v>3367</v>
      </c>
      <c r="F433" s="200">
        <v>44632</v>
      </c>
    </row>
    <row r="434" spans="1:6" s="39" customFormat="1" ht="14.1" customHeight="1" x14ac:dyDescent="0.3">
      <c r="A434" s="224">
        <v>324590</v>
      </c>
      <c r="B434" s="223" t="s">
        <v>3994</v>
      </c>
      <c r="C434" s="218">
        <v>7804350600360</v>
      </c>
      <c r="D434" s="19" t="s">
        <v>202</v>
      </c>
      <c r="E434" s="145" t="s">
        <v>3367</v>
      </c>
      <c r="F434" s="200">
        <v>44635</v>
      </c>
    </row>
    <row r="435" spans="1:6" s="39" customFormat="1" ht="14.1" customHeight="1" x14ac:dyDescent="0.3">
      <c r="A435" s="224" t="str">
        <f>"0010088"</f>
        <v>0010088</v>
      </c>
      <c r="B435" s="223" t="s">
        <v>3992</v>
      </c>
      <c r="C435" s="218" t="str">
        <f>"056327593237"</f>
        <v>056327593237</v>
      </c>
      <c r="D435" s="19" t="s">
        <v>37</v>
      </c>
      <c r="E435" s="145" t="s">
        <v>3367</v>
      </c>
      <c r="F435" s="200">
        <v>44649</v>
      </c>
    </row>
    <row r="436" spans="1:6" s="39" customFormat="1" ht="14.1" customHeight="1" x14ac:dyDescent="0.3">
      <c r="A436" s="224" t="str">
        <f>"0450270"</f>
        <v>0450270</v>
      </c>
      <c r="B436" s="223" t="s">
        <v>3995</v>
      </c>
      <c r="C436" s="218" t="str">
        <f>"056327009813"</f>
        <v>056327009813</v>
      </c>
      <c r="D436" s="19" t="s">
        <v>25</v>
      </c>
      <c r="E436" s="145" t="s">
        <v>3367</v>
      </c>
      <c r="F436" s="200">
        <v>44649</v>
      </c>
    </row>
    <row r="437" spans="1:6" s="39" customFormat="1" ht="14.1" customHeight="1" x14ac:dyDescent="0.3">
      <c r="A437" s="224" t="str">
        <f>"0568394"</f>
        <v>0568394</v>
      </c>
      <c r="B437" s="223" t="s">
        <v>3993</v>
      </c>
      <c r="C437" s="218" t="str">
        <f>"056327011984"</f>
        <v>056327011984</v>
      </c>
      <c r="D437" s="19" t="s">
        <v>25</v>
      </c>
      <c r="E437" s="145" t="s">
        <v>3367</v>
      </c>
      <c r="F437" s="200">
        <v>44649</v>
      </c>
    </row>
    <row r="438" spans="1:6" s="39" customFormat="1" ht="14.1" customHeight="1" x14ac:dyDescent="0.3">
      <c r="A438" s="224" t="str">
        <f>"0020647"</f>
        <v>0020647</v>
      </c>
      <c r="B438" s="223" t="s">
        <v>3991</v>
      </c>
      <c r="C438" s="218" t="str">
        <f>"048162018112"</f>
        <v>048162018112</v>
      </c>
      <c r="D438" s="19" t="s">
        <v>1620</v>
      </c>
      <c r="E438" s="145" t="s">
        <v>3367</v>
      </c>
      <c r="F438" s="200">
        <v>44630</v>
      </c>
    </row>
    <row r="439" spans="1:6" s="39" customFormat="1" ht="14.65" customHeight="1" x14ac:dyDescent="0.3">
      <c r="A439" s="224">
        <v>364265</v>
      </c>
      <c r="B439" s="223" t="s">
        <v>3989</v>
      </c>
      <c r="C439" s="218" t="s">
        <v>3990</v>
      </c>
      <c r="D439" s="19" t="s">
        <v>202</v>
      </c>
      <c r="E439" s="145" t="s">
        <v>3367</v>
      </c>
      <c r="F439" s="200">
        <v>44642</v>
      </c>
    </row>
    <row r="440" spans="1:6" s="39" customFormat="1" ht="14.65" customHeight="1" x14ac:dyDescent="0.3">
      <c r="A440" s="224">
        <v>357137</v>
      </c>
      <c r="B440" s="223" t="s">
        <v>3988</v>
      </c>
      <c r="C440" s="218" t="s">
        <v>601</v>
      </c>
      <c r="D440" s="19" t="s">
        <v>202</v>
      </c>
      <c r="E440" s="145" t="s">
        <v>3367</v>
      </c>
      <c r="F440" s="200">
        <v>44642</v>
      </c>
    </row>
    <row r="441" spans="1:6" s="39" customFormat="1" ht="14.65" customHeight="1" x14ac:dyDescent="0.3">
      <c r="A441" s="224">
        <v>324558</v>
      </c>
      <c r="B441" s="223" t="s">
        <v>3987</v>
      </c>
      <c r="C441" s="122">
        <v>779376390557</v>
      </c>
      <c r="D441" s="19" t="s">
        <v>202</v>
      </c>
      <c r="E441" s="145" t="s">
        <v>3367</v>
      </c>
      <c r="F441" s="200">
        <v>44642</v>
      </c>
    </row>
    <row r="442" spans="1:6" s="39" customFormat="1" ht="14.65" customHeight="1" x14ac:dyDescent="0.3">
      <c r="A442" s="224" t="str">
        <f>"0625939"</f>
        <v>0625939</v>
      </c>
      <c r="B442" s="223" t="s">
        <v>3986</v>
      </c>
      <c r="C442" s="122" t="str">
        <f>"628451939221"</f>
        <v>628451939221</v>
      </c>
      <c r="D442" s="19" t="s">
        <v>25</v>
      </c>
      <c r="E442" s="145" t="s">
        <v>3367</v>
      </c>
      <c r="F442" s="200">
        <v>44625</v>
      </c>
    </row>
    <row r="443" spans="1:6" s="39" customFormat="1" ht="14.65" customHeight="1" x14ac:dyDescent="0.3">
      <c r="A443" s="224" t="str">
        <f>"0635078"</f>
        <v>0635078</v>
      </c>
      <c r="B443" s="223" t="s">
        <v>3553</v>
      </c>
      <c r="C443" s="122" t="str">
        <f>"051497021610"</f>
        <v>051497021610</v>
      </c>
      <c r="D443" s="19" t="s">
        <v>25</v>
      </c>
      <c r="E443" s="145" t="s">
        <v>3367</v>
      </c>
      <c r="F443" s="200">
        <v>44625</v>
      </c>
    </row>
    <row r="444" spans="1:6" s="39" customFormat="1" ht="14.65" customHeight="1" x14ac:dyDescent="0.3">
      <c r="A444" s="224">
        <v>23560</v>
      </c>
      <c r="B444" s="223" t="s">
        <v>3985</v>
      </c>
      <c r="C444" s="122">
        <v>628250784473</v>
      </c>
      <c r="D444" s="19" t="s">
        <v>2231</v>
      </c>
      <c r="E444" s="145" t="s">
        <v>3367</v>
      </c>
      <c r="F444" s="200">
        <v>44625</v>
      </c>
    </row>
    <row r="445" spans="1:6" s="39" customFormat="1" ht="14.65" customHeight="1" x14ac:dyDescent="0.3">
      <c r="A445" s="224" t="str">
        <f>"0563601"</f>
        <v>0563601</v>
      </c>
      <c r="B445" s="223" t="s">
        <v>230</v>
      </c>
      <c r="C445" s="122" t="str">
        <f>"5010549305745"</f>
        <v>5010549305745</v>
      </c>
      <c r="D445" s="19" t="s">
        <v>127</v>
      </c>
      <c r="E445" s="145" t="s">
        <v>3984</v>
      </c>
      <c r="F445" s="200">
        <v>44624</v>
      </c>
    </row>
    <row r="446" spans="1:6" s="39" customFormat="1" ht="14.65" customHeight="1" x14ac:dyDescent="0.3">
      <c r="A446" s="224" t="str">
        <f>"0518274"</f>
        <v>0518274</v>
      </c>
      <c r="B446" s="223" t="s">
        <v>1058</v>
      </c>
      <c r="C446" s="122" t="str">
        <f>"628669062032"</f>
        <v>628669062032</v>
      </c>
      <c r="D446" s="19" t="s">
        <v>25</v>
      </c>
      <c r="E446" s="145" t="s">
        <v>3367</v>
      </c>
      <c r="F446" s="200">
        <v>44642</v>
      </c>
    </row>
    <row r="447" spans="1:6" s="39" customFormat="1" ht="14.65" customHeight="1" x14ac:dyDescent="0.3">
      <c r="A447" s="224" t="str">
        <f>"0022231"</f>
        <v>0022231</v>
      </c>
      <c r="B447" s="223" t="s">
        <v>3983</v>
      </c>
      <c r="C447" s="122" t="str">
        <f>"644216910977"</f>
        <v>644216910977</v>
      </c>
      <c r="D447" s="19" t="s">
        <v>48</v>
      </c>
      <c r="E447" s="145" t="s">
        <v>3367</v>
      </c>
      <c r="F447" s="200">
        <v>44623</v>
      </c>
    </row>
    <row r="448" spans="1:6" s="39" customFormat="1" ht="14.65" customHeight="1" x14ac:dyDescent="0.3">
      <c r="A448" s="224">
        <v>417600</v>
      </c>
      <c r="B448" s="223" t="s">
        <v>3968</v>
      </c>
      <c r="C448" s="122">
        <v>9416621213087</v>
      </c>
      <c r="D448" s="19" t="s">
        <v>202</v>
      </c>
      <c r="E448" s="145" t="s">
        <v>3969</v>
      </c>
      <c r="F448" s="200">
        <v>44635</v>
      </c>
    </row>
    <row r="449" spans="1:6" s="39" customFormat="1" ht="14.65" customHeight="1" x14ac:dyDescent="0.3">
      <c r="A449" s="19" t="str">
        <f>"0019773"</f>
        <v>0019773</v>
      </c>
      <c r="B449" s="170" t="s">
        <v>3970</v>
      </c>
      <c r="C449" s="218" t="s">
        <v>3977</v>
      </c>
      <c r="D449" s="19" t="s">
        <v>202</v>
      </c>
      <c r="E449" s="145" t="s">
        <v>3886</v>
      </c>
      <c r="F449" s="200">
        <v>44635</v>
      </c>
    </row>
    <row r="450" spans="1:6" s="39" customFormat="1" ht="14.65" customHeight="1" x14ac:dyDescent="0.3">
      <c r="A450" s="19" t="str">
        <f>"0172148"</f>
        <v>0172148</v>
      </c>
      <c r="B450" s="170" t="s">
        <v>3971</v>
      </c>
      <c r="C450" s="218" t="s">
        <v>3978</v>
      </c>
      <c r="D450" s="19" t="s">
        <v>202</v>
      </c>
      <c r="E450" s="145" t="s">
        <v>3886</v>
      </c>
      <c r="F450" s="200">
        <v>44635</v>
      </c>
    </row>
    <row r="451" spans="1:6" s="39" customFormat="1" ht="14.65" customHeight="1" x14ac:dyDescent="0.3">
      <c r="A451" s="19" t="str">
        <f>"0172387"</f>
        <v>0172387</v>
      </c>
      <c r="B451" s="170" t="s">
        <v>3972</v>
      </c>
      <c r="C451" s="218" t="s">
        <v>3979</v>
      </c>
      <c r="D451" s="19" t="s">
        <v>202</v>
      </c>
      <c r="E451" s="145" t="s">
        <v>3886</v>
      </c>
      <c r="F451" s="200">
        <v>44635</v>
      </c>
    </row>
    <row r="452" spans="1:6" s="39" customFormat="1" ht="14.65" customHeight="1" x14ac:dyDescent="0.3">
      <c r="A452" s="19" t="str">
        <f>"0348680"</f>
        <v>0348680</v>
      </c>
      <c r="B452" s="170" t="s">
        <v>3973</v>
      </c>
      <c r="C452" s="218" t="s">
        <v>3980</v>
      </c>
      <c r="D452" s="19" t="s">
        <v>202</v>
      </c>
      <c r="E452" s="145" t="s">
        <v>3886</v>
      </c>
      <c r="F452" s="200">
        <v>44635</v>
      </c>
    </row>
    <row r="453" spans="1:6" s="39" customFormat="1" ht="14.65" customHeight="1" x14ac:dyDescent="0.3">
      <c r="A453" s="19" t="str">
        <f>"0375071"</f>
        <v>0375071</v>
      </c>
      <c r="B453" s="170" t="s">
        <v>3974</v>
      </c>
      <c r="C453" s="218" t="s">
        <v>3981</v>
      </c>
      <c r="D453" s="19" t="s">
        <v>202</v>
      </c>
      <c r="E453" s="145" t="s">
        <v>3886</v>
      </c>
      <c r="F453" s="200">
        <v>44635</v>
      </c>
    </row>
    <row r="454" spans="1:6" s="39" customFormat="1" ht="14.65" customHeight="1" x14ac:dyDescent="0.3">
      <c r="A454" s="19" t="str">
        <f>"0325167"</f>
        <v>0325167</v>
      </c>
      <c r="B454" s="170" t="s">
        <v>3975</v>
      </c>
      <c r="C454" s="218" t="s">
        <v>3982</v>
      </c>
      <c r="D454" s="19" t="s">
        <v>202</v>
      </c>
      <c r="E454" s="145" t="s">
        <v>3976</v>
      </c>
      <c r="F454" s="200">
        <v>44635</v>
      </c>
    </row>
    <row r="455" spans="1:6" s="39" customFormat="1" ht="14.65" customHeight="1" x14ac:dyDescent="0.3">
      <c r="A455" s="224" t="str">
        <f>"0022222"</f>
        <v>0022222</v>
      </c>
      <c r="B455" s="223" t="s">
        <v>3967</v>
      </c>
      <c r="C455" s="122" t="str">
        <f>"621433036031"</f>
        <v>621433036031</v>
      </c>
      <c r="D455" s="19" t="s">
        <v>98</v>
      </c>
      <c r="E455" s="145" t="s">
        <v>3367</v>
      </c>
      <c r="F455" s="200">
        <v>44635</v>
      </c>
    </row>
    <row r="456" spans="1:6" s="39" customFormat="1" ht="14.65" customHeight="1" x14ac:dyDescent="0.3">
      <c r="A456" s="224" t="str">
        <f>"0019658"</f>
        <v>0019658</v>
      </c>
      <c r="B456" s="223" t="s">
        <v>3122</v>
      </c>
      <c r="C456" s="122" t="str">
        <f>"051497235567"</f>
        <v>051497235567</v>
      </c>
      <c r="D456" s="19" t="s">
        <v>555</v>
      </c>
      <c r="E456" s="145" t="s">
        <v>3871</v>
      </c>
      <c r="F456" s="200">
        <v>44635</v>
      </c>
    </row>
    <row r="457" spans="1:6" s="39" customFormat="1" ht="14.65" customHeight="1" x14ac:dyDescent="0.3">
      <c r="A457" s="224" t="str">
        <f>"0019734"</f>
        <v>0019734</v>
      </c>
      <c r="B457" s="223" t="s">
        <v>3966</v>
      </c>
      <c r="C457" s="122" t="str">
        <f>"051497153861"</f>
        <v>051497153861</v>
      </c>
      <c r="D457" s="19" t="s">
        <v>1620</v>
      </c>
      <c r="E457" s="145" t="s">
        <v>3871</v>
      </c>
      <c r="F457" s="200">
        <v>44635</v>
      </c>
    </row>
    <row r="458" spans="1:6" s="39" customFormat="1" ht="14.65" customHeight="1" x14ac:dyDescent="0.3">
      <c r="A458" s="224">
        <v>16958</v>
      </c>
      <c r="B458" s="223" t="s">
        <v>3949</v>
      </c>
      <c r="C458" s="122">
        <v>874537002215</v>
      </c>
      <c r="D458" s="19" t="s">
        <v>202</v>
      </c>
      <c r="E458" s="145" t="s">
        <v>3367</v>
      </c>
      <c r="F458" s="200">
        <v>44621</v>
      </c>
    </row>
    <row r="459" spans="1:6" s="39" customFormat="1" ht="14.65" customHeight="1" x14ac:dyDescent="0.3">
      <c r="A459" s="224">
        <v>18293</v>
      </c>
      <c r="B459" s="223" t="s">
        <v>3950</v>
      </c>
      <c r="C459" s="122">
        <v>874537002222</v>
      </c>
      <c r="D459" s="19" t="s">
        <v>202</v>
      </c>
      <c r="E459" s="145" t="s">
        <v>3367</v>
      </c>
      <c r="F459" s="200">
        <v>44621</v>
      </c>
    </row>
    <row r="460" spans="1:6" s="39" customFormat="1" ht="14.65" customHeight="1" x14ac:dyDescent="0.3">
      <c r="A460" s="224">
        <v>18294</v>
      </c>
      <c r="B460" s="223" t="s">
        <v>3951</v>
      </c>
      <c r="C460" s="122">
        <v>874537002239</v>
      </c>
      <c r="D460" s="19" t="s">
        <v>202</v>
      </c>
      <c r="E460" s="145" t="s">
        <v>3367</v>
      </c>
      <c r="F460" s="200">
        <v>44621</v>
      </c>
    </row>
    <row r="461" spans="1:6" s="39" customFormat="1" ht="14.65" customHeight="1" x14ac:dyDescent="0.3">
      <c r="A461" s="224">
        <v>74062</v>
      </c>
      <c r="B461" s="223" t="s">
        <v>3952</v>
      </c>
      <c r="C461" s="122">
        <v>874537079125</v>
      </c>
      <c r="D461" s="19" t="s">
        <v>202</v>
      </c>
      <c r="E461" s="145" t="s">
        <v>3367</v>
      </c>
      <c r="F461" s="200">
        <v>44621</v>
      </c>
    </row>
    <row r="462" spans="1:6" s="39" customFormat="1" ht="14.65" customHeight="1" x14ac:dyDescent="0.3">
      <c r="A462" s="224">
        <v>214890</v>
      </c>
      <c r="B462" s="223" t="s">
        <v>1138</v>
      </c>
      <c r="C462" s="122">
        <v>874537000709</v>
      </c>
      <c r="D462" s="19" t="s">
        <v>202</v>
      </c>
      <c r="E462" s="145" t="s">
        <v>3367</v>
      </c>
      <c r="F462" s="200">
        <v>44621</v>
      </c>
    </row>
    <row r="463" spans="1:6" s="39" customFormat="1" ht="14.65" customHeight="1" x14ac:dyDescent="0.3">
      <c r="A463" s="224">
        <v>481556</v>
      </c>
      <c r="B463" s="223" t="s">
        <v>1139</v>
      </c>
      <c r="C463" s="122">
        <v>874537000600</v>
      </c>
      <c r="D463" s="19" t="s">
        <v>202</v>
      </c>
      <c r="E463" s="145" t="s">
        <v>3367</v>
      </c>
      <c r="F463" s="200">
        <v>44621</v>
      </c>
    </row>
    <row r="464" spans="1:6" s="39" customFormat="1" ht="14.65" customHeight="1" x14ac:dyDescent="0.3">
      <c r="A464" s="224">
        <v>485862</v>
      </c>
      <c r="B464" s="223" t="s">
        <v>3953</v>
      </c>
      <c r="C464" s="122">
        <v>874537040149</v>
      </c>
      <c r="D464" s="19" t="s">
        <v>202</v>
      </c>
      <c r="E464" s="145" t="s">
        <v>3367</v>
      </c>
      <c r="F464" s="200">
        <v>44621</v>
      </c>
    </row>
    <row r="465" spans="1:6" s="39" customFormat="1" ht="14.65" customHeight="1" x14ac:dyDescent="0.3">
      <c r="A465" s="224">
        <v>636290</v>
      </c>
      <c r="B465" s="223" t="s">
        <v>3954</v>
      </c>
      <c r="C465" s="122">
        <v>874537000808</v>
      </c>
      <c r="D465" s="19" t="s">
        <v>759</v>
      </c>
      <c r="E465" s="145" t="s">
        <v>3367</v>
      </c>
      <c r="F465" s="200">
        <v>44621</v>
      </c>
    </row>
    <row r="466" spans="1:6" s="39" customFormat="1" ht="14.65" customHeight="1" x14ac:dyDescent="0.3">
      <c r="A466" s="224">
        <v>637264</v>
      </c>
      <c r="B466" s="223" t="s">
        <v>3955</v>
      </c>
      <c r="C466" s="122">
        <v>874537000853</v>
      </c>
      <c r="D466" s="19" t="s">
        <v>759</v>
      </c>
      <c r="E466" s="145" t="s">
        <v>3367</v>
      </c>
      <c r="F466" s="200">
        <v>44621</v>
      </c>
    </row>
    <row r="467" spans="1:6" s="39" customFormat="1" ht="14.65" customHeight="1" x14ac:dyDescent="0.3">
      <c r="A467" s="224">
        <v>637272</v>
      </c>
      <c r="B467" s="223" t="s">
        <v>3956</v>
      </c>
      <c r="C467" s="122">
        <v>874537000747</v>
      </c>
      <c r="D467" s="19" t="s">
        <v>759</v>
      </c>
      <c r="E467" s="145" t="s">
        <v>3367</v>
      </c>
      <c r="F467" s="200">
        <v>44621</v>
      </c>
    </row>
    <row r="468" spans="1:6" s="39" customFormat="1" ht="14.65" customHeight="1" x14ac:dyDescent="0.3">
      <c r="A468" s="224">
        <v>471813</v>
      </c>
      <c r="B468" s="223" t="s">
        <v>3957</v>
      </c>
      <c r="C468" s="122">
        <v>874537001188</v>
      </c>
      <c r="D468" s="19" t="s">
        <v>759</v>
      </c>
      <c r="E468" s="145" t="s">
        <v>3367</v>
      </c>
      <c r="F468" s="200">
        <v>44621</v>
      </c>
    </row>
    <row r="469" spans="1:6" s="39" customFormat="1" ht="14.65" customHeight="1" x14ac:dyDescent="0.3">
      <c r="A469" s="224">
        <v>16953</v>
      </c>
      <c r="B469" s="223" t="s">
        <v>3958</v>
      </c>
      <c r="C469" s="122">
        <v>874537002208</v>
      </c>
      <c r="D469" s="19" t="s">
        <v>202</v>
      </c>
      <c r="E469" s="145" t="s">
        <v>3367</v>
      </c>
      <c r="F469" s="200">
        <v>44621</v>
      </c>
    </row>
    <row r="470" spans="1:6" s="39" customFormat="1" ht="14.65" customHeight="1" x14ac:dyDescent="0.3">
      <c r="A470" s="224">
        <v>369652</v>
      </c>
      <c r="B470" s="223" t="s">
        <v>3959</v>
      </c>
      <c r="C470" s="122">
        <v>874537001607</v>
      </c>
      <c r="D470" s="19" t="s">
        <v>202</v>
      </c>
      <c r="E470" s="145" t="s">
        <v>3367</v>
      </c>
      <c r="F470" s="200">
        <v>44621</v>
      </c>
    </row>
    <row r="471" spans="1:6" s="39" customFormat="1" ht="14.65" customHeight="1" x14ac:dyDescent="0.3">
      <c r="A471" s="224">
        <v>443820</v>
      </c>
      <c r="B471" s="223" t="s">
        <v>3960</v>
      </c>
      <c r="C471" s="122">
        <v>874537254140</v>
      </c>
      <c r="D471" s="19" t="s">
        <v>137</v>
      </c>
      <c r="E471" s="145" t="s">
        <v>3367</v>
      </c>
      <c r="F471" s="200">
        <v>44621</v>
      </c>
    </row>
    <row r="472" spans="1:6" s="39" customFormat="1" ht="14.65" customHeight="1" x14ac:dyDescent="0.3">
      <c r="A472" s="224">
        <v>471839</v>
      </c>
      <c r="B472" s="223" t="s">
        <v>3961</v>
      </c>
      <c r="C472" s="122">
        <v>874537001195</v>
      </c>
      <c r="D472" s="19" t="s">
        <v>759</v>
      </c>
      <c r="E472" s="145" t="s">
        <v>3367</v>
      </c>
      <c r="F472" s="200">
        <v>44621</v>
      </c>
    </row>
    <row r="473" spans="1:6" s="39" customFormat="1" ht="14.65" customHeight="1" x14ac:dyDescent="0.3">
      <c r="A473" s="224">
        <v>613059</v>
      </c>
      <c r="B473" s="223" t="s">
        <v>3962</v>
      </c>
      <c r="C473" s="122">
        <v>874537000693</v>
      </c>
      <c r="D473" s="19" t="s">
        <v>202</v>
      </c>
      <c r="E473" s="145" t="s">
        <v>3367</v>
      </c>
      <c r="F473" s="200">
        <v>44621</v>
      </c>
    </row>
    <row r="474" spans="1:6" s="39" customFormat="1" ht="14.65" customHeight="1" x14ac:dyDescent="0.3">
      <c r="A474" s="224">
        <v>456582</v>
      </c>
      <c r="B474" s="223" t="s">
        <v>3963</v>
      </c>
      <c r="C474" s="122">
        <v>874537001638</v>
      </c>
      <c r="D474" s="19" t="s">
        <v>202</v>
      </c>
      <c r="E474" s="145" t="s">
        <v>3367</v>
      </c>
      <c r="F474" s="200">
        <v>44628</v>
      </c>
    </row>
    <row r="475" spans="1:6" s="39" customFormat="1" ht="14.65" customHeight="1" x14ac:dyDescent="0.3">
      <c r="A475" s="224">
        <v>688549</v>
      </c>
      <c r="B475" s="223" t="s">
        <v>3964</v>
      </c>
      <c r="C475" s="122">
        <v>874537002147</v>
      </c>
      <c r="D475" s="19" t="s">
        <v>202</v>
      </c>
      <c r="E475" s="145" t="s">
        <v>3367</v>
      </c>
      <c r="F475" s="200">
        <v>44628</v>
      </c>
    </row>
    <row r="476" spans="1:6" s="39" customFormat="1" ht="14.65" customHeight="1" x14ac:dyDescent="0.3">
      <c r="A476" s="224">
        <v>688556</v>
      </c>
      <c r="B476" s="223" t="s">
        <v>3965</v>
      </c>
      <c r="C476" s="122">
        <v>874537000143</v>
      </c>
      <c r="D476" s="19" t="s">
        <v>202</v>
      </c>
      <c r="E476" s="145" t="s">
        <v>3367</v>
      </c>
      <c r="F476" s="200">
        <v>44628</v>
      </c>
    </row>
    <row r="477" spans="1:6" s="39" customFormat="1" ht="14.65" customHeight="1" x14ac:dyDescent="0.3">
      <c r="A477" s="19">
        <v>482026</v>
      </c>
      <c r="B477" s="170" t="s">
        <v>3948</v>
      </c>
      <c r="C477" s="173">
        <v>3185370074831</v>
      </c>
      <c r="D477" s="19" t="s">
        <v>202</v>
      </c>
      <c r="E477" s="145" t="s">
        <v>3947</v>
      </c>
      <c r="F477" s="200">
        <v>44621</v>
      </c>
    </row>
    <row r="478" spans="1:6" s="39" customFormat="1" ht="14.65" customHeight="1" x14ac:dyDescent="0.3">
      <c r="A478" s="210">
        <v>38307</v>
      </c>
      <c r="B478" s="170" t="s">
        <v>3945</v>
      </c>
      <c r="C478" s="173">
        <v>3049610000106</v>
      </c>
      <c r="D478" s="19" t="s">
        <v>202</v>
      </c>
      <c r="E478" s="145" t="s">
        <v>3946</v>
      </c>
      <c r="F478" s="200">
        <v>44621</v>
      </c>
    </row>
    <row r="479" spans="1:6" s="39" customFormat="1" ht="28.5" customHeight="1" x14ac:dyDescent="0.3">
      <c r="A479" s="210">
        <v>464214</v>
      </c>
      <c r="B479" s="170" t="s">
        <v>3943</v>
      </c>
      <c r="C479" s="173">
        <v>5060108901451</v>
      </c>
      <c r="D479" s="19" t="s">
        <v>202</v>
      </c>
      <c r="E479" s="184" t="s">
        <v>3944</v>
      </c>
      <c r="F479" s="200">
        <v>44628</v>
      </c>
    </row>
    <row r="480" spans="1:6" s="39" customFormat="1" ht="14.65" customHeight="1" x14ac:dyDescent="0.3">
      <c r="A480" s="210" t="str">
        <f>"0015179"</f>
        <v>0015179</v>
      </c>
      <c r="B480" s="170" t="s">
        <v>3940</v>
      </c>
      <c r="C480" s="173" t="str">
        <f>"056327016064"</f>
        <v>056327016064</v>
      </c>
      <c r="D480" s="19" t="s">
        <v>37</v>
      </c>
      <c r="E480" s="145" t="s">
        <v>3367</v>
      </c>
      <c r="F480" s="200">
        <v>44635</v>
      </c>
    </row>
    <row r="481" spans="1:6" s="39" customFormat="1" ht="14.65" customHeight="1" x14ac:dyDescent="0.3">
      <c r="A481" s="210" t="str">
        <f>"0015646"</f>
        <v>0015646</v>
      </c>
      <c r="B481" s="170" t="s">
        <v>3060</v>
      </c>
      <c r="C481" s="173" t="str">
        <f>"056327015418"</f>
        <v>056327015418</v>
      </c>
      <c r="D481" s="19" t="s">
        <v>25</v>
      </c>
      <c r="E481" s="145" t="s">
        <v>3367</v>
      </c>
      <c r="F481" s="200">
        <v>44635</v>
      </c>
    </row>
    <row r="482" spans="1:6" s="39" customFormat="1" ht="14.65" customHeight="1" x14ac:dyDescent="0.3">
      <c r="A482" s="210" t="str">
        <f>"0019887"</f>
        <v>0019887</v>
      </c>
      <c r="B482" s="170" t="s">
        <v>3941</v>
      </c>
      <c r="C482" s="173" t="str">
        <f>"056327019379"</f>
        <v>056327019379</v>
      </c>
      <c r="D482" s="19" t="s">
        <v>25</v>
      </c>
      <c r="E482" s="145" t="s">
        <v>3367</v>
      </c>
      <c r="F482" s="200">
        <v>44635</v>
      </c>
    </row>
    <row r="483" spans="1:6" s="39" customFormat="1" ht="14.65" customHeight="1" x14ac:dyDescent="0.3">
      <c r="A483" s="210" t="str">
        <f>"0927228"</f>
        <v>0927228</v>
      </c>
      <c r="B483" s="170" t="s">
        <v>3942</v>
      </c>
      <c r="C483" s="173" t="str">
        <f>"056327672536"</f>
        <v>056327672536</v>
      </c>
      <c r="D483" s="19" t="s">
        <v>106</v>
      </c>
      <c r="E483" s="145" t="s">
        <v>3367</v>
      </c>
      <c r="F483" s="200">
        <v>44635</v>
      </c>
    </row>
    <row r="484" spans="1:6" s="39" customFormat="1" ht="14.65" customHeight="1" x14ac:dyDescent="0.3">
      <c r="A484" s="210" t="str">
        <f>"0022223"</f>
        <v>0022223</v>
      </c>
      <c r="B484" s="170" t="s">
        <v>3939</v>
      </c>
      <c r="C484" s="173" t="str">
        <f>"691245000117"</f>
        <v>691245000117</v>
      </c>
      <c r="D484" s="19" t="s">
        <v>25</v>
      </c>
      <c r="E484" s="145" t="s">
        <v>3367</v>
      </c>
      <c r="F484" s="200">
        <v>44628</v>
      </c>
    </row>
    <row r="485" spans="1:6" s="39" customFormat="1" ht="14.65" customHeight="1" x14ac:dyDescent="0.3">
      <c r="A485" s="210" t="str">
        <f>"0024127"</f>
        <v>0024127</v>
      </c>
      <c r="B485" s="170" t="s">
        <v>3938</v>
      </c>
      <c r="C485" s="173" t="str">
        <f>"627843469100"</f>
        <v>627843469100</v>
      </c>
      <c r="D485" s="19" t="s">
        <v>1620</v>
      </c>
      <c r="E485" s="145" t="s">
        <v>3367</v>
      </c>
      <c r="F485" s="200">
        <v>44628</v>
      </c>
    </row>
    <row r="486" spans="1:6" s="39" customFormat="1" ht="14.65" customHeight="1" x14ac:dyDescent="0.3">
      <c r="A486" s="210" t="str">
        <f>"0024209"</f>
        <v>0024209</v>
      </c>
      <c r="B486" s="170" t="s">
        <v>3937</v>
      </c>
      <c r="C486" s="173" t="str">
        <f>"793888595910"</f>
        <v>793888595910</v>
      </c>
      <c r="D486" s="19" t="s">
        <v>25</v>
      </c>
      <c r="E486" s="145" t="s">
        <v>3367</v>
      </c>
      <c r="F486" s="200">
        <v>44628</v>
      </c>
    </row>
    <row r="487" spans="1:6" s="39" customFormat="1" ht="14.65" customHeight="1" x14ac:dyDescent="0.3">
      <c r="A487" s="210">
        <v>48819</v>
      </c>
      <c r="B487" s="170" t="s">
        <v>3936</v>
      </c>
      <c r="C487" s="173">
        <v>819761002402</v>
      </c>
      <c r="D487" s="19" t="s">
        <v>202</v>
      </c>
      <c r="E487" s="145" t="s">
        <v>3935</v>
      </c>
      <c r="F487" s="200">
        <v>44607</v>
      </c>
    </row>
    <row r="488" spans="1:6" s="39" customFormat="1" ht="14.65" customHeight="1" x14ac:dyDescent="0.3">
      <c r="A488" s="210" t="str">
        <f>"0022229"</f>
        <v>0022229</v>
      </c>
      <c r="B488" s="170" t="s">
        <v>3934</v>
      </c>
      <c r="C488" s="173" t="str">
        <f>"628669093166"</f>
        <v>628669093166</v>
      </c>
      <c r="D488" s="19" t="s">
        <v>25</v>
      </c>
      <c r="E488" s="145" t="s">
        <v>3367</v>
      </c>
      <c r="F488" s="200">
        <v>44628</v>
      </c>
    </row>
    <row r="489" spans="1:6" s="39" customFormat="1" ht="14.65" customHeight="1" x14ac:dyDescent="0.3">
      <c r="A489" s="210">
        <v>10427</v>
      </c>
      <c r="B489" s="170" t="s">
        <v>3933</v>
      </c>
      <c r="C489" s="173">
        <v>63657039441</v>
      </c>
      <c r="D489" s="19" t="s">
        <v>202</v>
      </c>
      <c r="E489" s="145" t="s">
        <v>3367</v>
      </c>
      <c r="F489" s="200">
        <v>44621</v>
      </c>
    </row>
    <row r="490" spans="1:6" s="39" customFormat="1" ht="14.65" customHeight="1" x14ac:dyDescent="0.3">
      <c r="A490" s="210" t="str">
        <f>"0025051"</f>
        <v>0025051</v>
      </c>
      <c r="B490" s="170" t="s">
        <v>3931</v>
      </c>
      <c r="C490" s="173" t="str">
        <f>"628669093685"</f>
        <v>628669093685</v>
      </c>
      <c r="D490" s="19" t="s">
        <v>98</v>
      </c>
      <c r="E490" s="145" t="s">
        <v>3932</v>
      </c>
      <c r="F490" s="200">
        <v>44609</v>
      </c>
    </row>
    <row r="491" spans="1:6" s="39" customFormat="1" ht="14.65" customHeight="1" x14ac:dyDescent="0.3">
      <c r="A491" s="210" t="str">
        <f>"0467209"</f>
        <v>0467209</v>
      </c>
      <c r="B491" s="170" t="s">
        <v>2493</v>
      </c>
      <c r="C491" s="173" t="str">
        <f>"620707006855"</f>
        <v>620707006855</v>
      </c>
      <c r="D491" s="19" t="s">
        <v>37</v>
      </c>
      <c r="E491" s="145" t="s">
        <v>3930</v>
      </c>
      <c r="F491" s="200">
        <v>44615</v>
      </c>
    </row>
    <row r="492" spans="1:6" s="39" customFormat="1" ht="14.65" customHeight="1" x14ac:dyDescent="0.3">
      <c r="A492" s="210" t="str">
        <f>"0022025"</f>
        <v>0022025</v>
      </c>
      <c r="B492" s="170" t="s">
        <v>3927</v>
      </c>
      <c r="C492" s="173" t="str">
        <f>"675325399018"</f>
        <v>675325399018</v>
      </c>
      <c r="D492" s="19" t="s">
        <v>127</v>
      </c>
      <c r="E492" s="145" t="s">
        <v>3928</v>
      </c>
      <c r="F492" s="200">
        <v>44621</v>
      </c>
    </row>
    <row r="493" spans="1:6" s="39" customFormat="1" ht="14.65" customHeight="1" x14ac:dyDescent="0.3">
      <c r="A493" s="210" t="str">
        <f>"0518795"</f>
        <v>0518795</v>
      </c>
      <c r="B493" s="170" t="s">
        <v>940</v>
      </c>
      <c r="C493" s="173" t="str">
        <f>"7350064990759"</f>
        <v>7350064990759</v>
      </c>
      <c r="D493" s="19" t="s">
        <v>25</v>
      </c>
      <c r="E493" s="145" t="s">
        <v>3929</v>
      </c>
      <c r="F493" s="200">
        <v>44621</v>
      </c>
    </row>
    <row r="494" spans="1:6" s="39" customFormat="1" ht="14.65" customHeight="1" x14ac:dyDescent="0.3">
      <c r="A494" s="210">
        <v>11565</v>
      </c>
      <c r="B494" s="170" t="s">
        <v>3926</v>
      </c>
      <c r="C494" s="173">
        <v>63657039823</v>
      </c>
      <c r="D494" s="19" t="s">
        <v>202</v>
      </c>
      <c r="E494" s="145" t="s">
        <v>3367</v>
      </c>
      <c r="F494" s="200">
        <v>44621</v>
      </c>
    </row>
    <row r="495" spans="1:6" s="39" customFormat="1" ht="14.65" customHeight="1" x14ac:dyDescent="0.3">
      <c r="A495" s="210">
        <v>117960</v>
      </c>
      <c r="B495" s="170" t="s">
        <v>3925</v>
      </c>
      <c r="C495" s="173">
        <v>819761002228</v>
      </c>
      <c r="D495" s="19" t="s">
        <v>202</v>
      </c>
      <c r="E495" s="145" t="s">
        <v>3367</v>
      </c>
      <c r="F495" s="200">
        <v>44607</v>
      </c>
    </row>
    <row r="496" spans="1:6" s="39" customFormat="1" ht="28.5" customHeight="1" x14ac:dyDescent="0.3">
      <c r="A496" s="210">
        <v>105429</v>
      </c>
      <c r="B496" s="170" t="s">
        <v>3923</v>
      </c>
      <c r="C496" s="173">
        <v>8007425001546</v>
      </c>
      <c r="D496" s="19" t="s">
        <v>202</v>
      </c>
      <c r="E496" s="184" t="s">
        <v>3924</v>
      </c>
      <c r="F496" s="200">
        <v>44607</v>
      </c>
    </row>
    <row r="497" spans="1:6" s="39" customFormat="1" ht="14.65" customHeight="1" x14ac:dyDescent="0.3">
      <c r="A497" s="210">
        <v>310391</v>
      </c>
      <c r="B497" s="170" t="s">
        <v>3921</v>
      </c>
      <c r="C497" s="173" t="s">
        <v>3922</v>
      </c>
      <c r="D497" s="19" t="s">
        <v>202</v>
      </c>
      <c r="E497" s="145" t="s">
        <v>3367</v>
      </c>
      <c r="F497" s="200">
        <v>44621</v>
      </c>
    </row>
    <row r="498" spans="1:6" s="39" customFormat="1" ht="14.65" customHeight="1" x14ac:dyDescent="0.3">
      <c r="A498" s="210" t="str">
        <f>"0017069"</f>
        <v>0017069</v>
      </c>
      <c r="B498" s="170" t="s">
        <v>3914</v>
      </c>
      <c r="C498" s="173" t="str">
        <f>"628028020208"</f>
        <v>628028020208</v>
      </c>
      <c r="D498" s="19" t="s">
        <v>98</v>
      </c>
      <c r="E498" s="145" t="s">
        <v>3367</v>
      </c>
      <c r="F498" s="200">
        <v>44607</v>
      </c>
    </row>
    <row r="499" spans="1:6" s="39" customFormat="1" ht="14.65" customHeight="1" x14ac:dyDescent="0.3">
      <c r="A499" s="210" t="str">
        <f>"0017604"</f>
        <v>0017604</v>
      </c>
      <c r="B499" s="170" t="s">
        <v>3631</v>
      </c>
      <c r="C499" s="173" t="str">
        <f>"628028020277"</f>
        <v>628028020277</v>
      </c>
      <c r="D499" s="19" t="s">
        <v>25</v>
      </c>
      <c r="E499" s="145" t="s">
        <v>3367</v>
      </c>
      <c r="F499" s="200">
        <v>44607</v>
      </c>
    </row>
    <row r="500" spans="1:6" s="39" customFormat="1" ht="14.65" customHeight="1" x14ac:dyDescent="0.3">
      <c r="A500" s="210" t="str">
        <f>"0020451"</f>
        <v>0020451</v>
      </c>
      <c r="B500" s="170" t="s">
        <v>3915</v>
      </c>
      <c r="C500" s="173" t="str">
        <f>"628028020420"</f>
        <v>628028020420</v>
      </c>
      <c r="D500" s="19" t="s">
        <v>98</v>
      </c>
      <c r="E500" s="145" t="s">
        <v>3367</v>
      </c>
      <c r="F500" s="200">
        <v>44607</v>
      </c>
    </row>
    <row r="501" spans="1:6" s="39" customFormat="1" ht="14.65" customHeight="1" x14ac:dyDescent="0.3">
      <c r="A501" s="210" t="str">
        <f>"0016233"</f>
        <v>0016233</v>
      </c>
      <c r="B501" s="170" t="s">
        <v>3916</v>
      </c>
      <c r="C501" s="173" t="str">
        <f>"628028020178"</f>
        <v>628028020178</v>
      </c>
      <c r="D501" s="19" t="s">
        <v>25</v>
      </c>
      <c r="E501" s="145" t="s">
        <v>3367</v>
      </c>
      <c r="F501" s="200">
        <v>44621</v>
      </c>
    </row>
    <row r="502" spans="1:6" s="39" customFormat="1" ht="14.65" customHeight="1" x14ac:dyDescent="0.3">
      <c r="A502" s="210" t="str">
        <f>"0019616"</f>
        <v>0019616</v>
      </c>
      <c r="B502" s="170" t="s">
        <v>3917</v>
      </c>
      <c r="C502" s="173" t="str">
        <f>"628028020376"</f>
        <v>628028020376</v>
      </c>
      <c r="D502" s="19" t="s">
        <v>25</v>
      </c>
      <c r="E502" s="145" t="s">
        <v>3367</v>
      </c>
      <c r="F502" s="200">
        <v>44621</v>
      </c>
    </row>
    <row r="503" spans="1:6" s="39" customFormat="1" ht="14.65" customHeight="1" x14ac:dyDescent="0.3">
      <c r="A503" s="210" t="str">
        <f>"0020454"</f>
        <v>0020454</v>
      </c>
      <c r="B503" s="170" t="s">
        <v>3918</v>
      </c>
      <c r="C503" s="173" t="str">
        <f>"628028020437"</f>
        <v>628028020437</v>
      </c>
      <c r="D503" s="19" t="s">
        <v>25</v>
      </c>
      <c r="E503" s="145" t="s">
        <v>3367</v>
      </c>
      <c r="F503" s="200">
        <v>44621</v>
      </c>
    </row>
    <row r="504" spans="1:6" s="39" customFormat="1" ht="14.65" customHeight="1" x14ac:dyDescent="0.3">
      <c r="A504" s="210" t="str">
        <f>"0021491"</f>
        <v>0021491</v>
      </c>
      <c r="B504" s="170" t="s">
        <v>3919</v>
      </c>
      <c r="C504" s="173" t="str">
        <f>"628028020550"</f>
        <v>628028020550</v>
      </c>
      <c r="D504" s="19" t="s">
        <v>98</v>
      </c>
      <c r="E504" s="145" t="s">
        <v>3367</v>
      </c>
      <c r="F504" s="200">
        <v>44621</v>
      </c>
    </row>
    <row r="505" spans="1:6" s="39" customFormat="1" ht="14.65" customHeight="1" x14ac:dyDescent="0.3">
      <c r="A505" s="210" t="str">
        <f>"0526814"</f>
        <v>0526814</v>
      </c>
      <c r="B505" s="170" t="s">
        <v>3920</v>
      </c>
      <c r="C505" s="173" t="str">
        <f>"627843577454"</f>
        <v>627843577454</v>
      </c>
      <c r="D505" s="19" t="s">
        <v>25</v>
      </c>
      <c r="E505" s="145" t="s">
        <v>3367</v>
      </c>
      <c r="F505" s="200">
        <v>44621</v>
      </c>
    </row>
    <row r="506" spans="1:6" s="39" customFormat="1" ht="14.65" customHeight="1" x14ac:dyDescent="0.3">
      <c r="A506" s="210" t="str">
        <f>"0015696"</f>
        <v>0015696</v>
      </c>
      <c r="B506" s="170" t="s">
        <v>3913</v>
      </c>
      <c r="C506" s="173" t="str">
        <f>"627843469117"</f>
        <v>627843469117</v>
      </c>
      <c r="D506" s="19" t="s">
        <v>1620</v>
      </c>
      <c r="E506" s="145" t="s">
        <v>3367</v>
      </c>
      <c r="F506" s="200">
        <v>44621</v>
      </c>
    </row>
    <row r="507" spans="1:6" s="39" customFormat="1" ht="14.65" customHeight="1" x14ac:dyDescent="0.3">
      <c r="A507" s="210" t="str">
        <f>"0016004"</f>
        <v>0016004</v>
      </c>
      <c r="B507" s="170" t="s">
        <v>3912</v>
      </c>
      <c r="C507" s="173" t="str">
        <f>"675325010227"</f>
        <v>675325010227</v>
      </c>
      <c r="D507" s="19" t="s">
        <v>25</v>
      </c>
      <c r="E507" s="145" t="s">
        <v>3367</v>
      </c>
      <c r="F507" s="200">
        <v>44621</v>
      </c>
    </row>
    <row r="508" spans="1:6" s="39" customFormat="1" ht="16.55" customHeight="1" x14ac:dyDescent="0.3">
      <c r="A508" s="210" t="str">
        <f>"0025819"</f>
        <v>0025819</v>
      </c>
      <c r="B508" s="170" t="s">
        <v>3910</v>
      </c>
      <c r="C508" s="173" t="str">
        <f>"776029701548"</f>
        <v>776029701548</v>
      </c>
      <c r="D508" s="19" t="s">
        <v>25</v>
      </c>
      <c r="E508" s="145" t="s">
        <v>3911</v>
      </c>
      <c r="F508" s="200">
        <v>44603</v>
      </c>
    </row>
    <row r="509" spans="1:6" s="39" customFormat="1" ht="16.55" customHeight="1" x14ac:dyDescent="0.3">
      <c r="A509" s="210" t="str">
        <f>"0271809"</f>
        <v>0271809</v>
      </c>
      <c r="B509" s="170" t="s">
        <v>3909</v>
      </c>
      <c r="C509" s="173" t="str">
        <f>"5011348018652"</f>
        <v>5011348018652</v>
      </c>
      <c r="D509" s="19" t="s">
        <v>48</v>
      </c>
      <c r="E509" s="145" t="s">
        <v>3367</v>
      </c>
      <c r="F509" s="200">
        <v>44615</v>
      </c>
    </row>
    <row r="510" spans="1:6" s="39" customFormat="1" ht="14.65" customHeight="1" x14ac:dyDescent="0.3">
      <c r="A510" s="210">
        <v>15751</v>
      </c>
      <c r="B510" s="170" t="s">
        <v>3908</v>
      </c>
      <c r="C510" s="173">
        <v>98652840013</v>
      </c>
      <c r="D510" s="19" t="s">
        <v>202</v>
      </c>
      <c r="E510" s="145" t="s">
        <v>3367</v>
      </c>
      <c r="F510" s="200">
        <v>44600</v>
      </c>
    </row>
    <row r="511" spans="1:6" s="39" customFormat="1" ht="16.55" customHeight="1" x14ac:dyDescent="0.3">
      <c r="A511" s="210" t="str">
        <f>"0010344"</f>
        <v>0010344</v>
      </c>
      <c r="B511" s="170" t="s">
        <v>3907</v>
      </c>
      <c r="C511" s="173" t="str">
        <f>"627987102420"</f>
        <v>627987102420</v>
      </c>
      <c r="D511" s="19" t="s">
        <v>1620</v>
      </c>
      <c r="E511" s="145" t="s">
        <v>3367</v>
      </c>
      <c r="F511" s="200">
        <v>44597</v>
      </c>
    </row>
    <row r="512" spans="1:6" s="39" customFormat="1" ht="16.55" customHeight="1" x14ac:dyDescent="0.3">
      <c r="A512" s="210" t="str">
        <f>"0025075"</f>
        <v>0025075</v>
      </c>
      <c r="B512" s="170" t="s">
        <v>3905</v>
      </c>
      <c r="C512" s="173" t="str">
        <f>"628028020215"</f>
        <v>628028020215</v>
      </c>
      <c r="D512" s="19" t="s">
        <v>25</v>
      </c>
      <c r="E512" s="145" t="s">
        <v>3906</v>
      </c>
      <c r="F512" s="200">
        <v>44596</v>
      </c>
    </row>
    <row r="513" spans="1:6" s="39" customFormat="1" ht="16.55" customHeight="1" x14ac:dyDescent="0.3">
      <c r="A513" s="210" t="str">
        <f>"0012594"</f>
        <v>0012594</v>
      </c>
      <c r="B513" s="170" t="s">
        <v>3903</v>
      </c>
      <c r="C513" s="173" t="str">
        <f>"818278002905"</f>
        <v>818278002905</v>
      </c>
      <c r="D513" s="19" t="s">
        <v>25</v>
      </c>
      <c r="E513" s="145" t="s">
        <v>3367</v>
      </c>
      <c r="F513" s="200">
        <v>44595</v>
      </c>
    </row>
    <row r="514" spans="1:6" s="39" customFormat="1" ht="16.55" customHeight="1" x14ac:dyDescent="0.3">
      <c r="A514" s="210" t="str">
        <f>"0019654"</f>
        <v>0019654</v>
      </c>
      <c r="B514" s="170" t="s">
        <v>3698</v>
      </c>
      <c r="C514" s="173" t="str">
        <f>"818278010030"</f>
        <v>818278010030</v>
      </c>
      <c r="D514" s="19" t="s">
        <v>25</v>
      </c>
      <c r="E514" s="145" t="s">
        <v>3367</v>
      </c>
      <c r="F514" s="200">
        <v>44595</v>
      </c>
    </row>
    <row r="515" spans="1:6" s="39" customFormat="1" ht="16.55" customHeight="1" x14ac:dyDescent="0.3">
      <c r="A515" s="210" t="str">
        <f>"0020821"</f>
        <v>0020821</v>
      </c>
      <c r="B515" s="170" t="s">
        <v>3904</v>
      </c>
      <c r="C515" s="173" t="str">
        <f>"0702915002161"</f>
        <v>0702915002161</v>
      </c>
      <c r="D515" s="19" t="s">
        <v>98</v>
      </c>
      <c r="E515" s="145" t="s">
        <v>3367</v>
      </c>
      <c r="F515" s="200">
        <v>44595</v>
      </c>
    </row>
    <row r="516" spans="1:6" s="39" customFormat="1" ht="16.55" customHeight="1" x14ac:dyDescent="0.3">
      <c r="A516" s="210" t="str">
        <f>"0018003"</f>
        <v>0018003</v>
      </c>
      <c r="B516" s="170" t="s">
        <v>3901</v>
      </c>
      <c r="C516" s="173" t="str">
        <f>"771815693786"</f>
        <v>771815693786</v>
      </c>
      <c r="D516" s="19" t="s">
        <v>25</v>
      </c>
      <c r="E516" s="145" t="s">
        <v>3367</v>
      </c>
      <c r="F516" s="200">
        <v>44594</v>
      </c>
    </row>
    <row r="517" spans="1:6" s="39" customFormat="1" ht="16.55" customHeight="1" x14ac:dyDescent="0.3">
      <c r="A517" s="210" t="str">
        <f>"0015186"</f>
        <v>0015186</v>
      </c>
      <c r="B517" s="170" t="s">
        <v>3899</v>
      </c>
      <c r="C517" s="173" t="str">
        <f>"056327016033"</f>
        <v>056327016033</v>
      </c>
      <c r="D517" s="19" t="s">
        <v>25</v>
      </c>
      <c r="E517" s="145" t="s">
        <v>3367</v>
      </c>
      <c r="F517" s="200">
        <v>44615</v>
      </c>
    </row>
    <row r="518" spans="1:6" s="39" customFormat="1" ht="16.55" customHeight="1" x14ac:dyDescent="0.3">
      <c r="A518" s="210" t="str">
        <f>"0020093"</f>
        <v>0020093</v>
      </c>
      <c r="B518" s="170" t="s">
        <v>3902</v>
      </c>
      <c r="C518" s="173" t="str">
        <f>"056910784714"</f>
        <v>056910784714</v>
      </c>
      <c r="D518" s="19" t="s">
        <v>25</v>
      </c>
      <c r="E518" s="145" t="s">
        <v>3367</v>
      </c>
      <c r="F518" s="200">
        <v>44615</v>
      </c>
    </row>
    <row r="519" spans="1:6" s="39" customFormat="1" ht="16.55" customHeight="1" x14ac:dyDescent="0.3">
      <c r="A519" s="210" t="str">
        <f>"0144337"</f>
        <v>0144337</v>
      </c>
      <c r="B519" s="170" t="s">
        <v>3900</v>
      </c>
      <c r="C519" s="173" t="str">
        <f>"834873000269"</f>
        <v>834873000269</v>
      </c>
      <c r="D519" s="19" t="s">
        <v>25</v>
      </c>
      <c r="E519" s="145" t="s">
        <v>3367</v>
      </c>
      <c r="F519" s="200">
        <v>44607</v>
      </c>
    </row>
    <row r="520" spans="1:6" s="39" customFormat="1" ht="16.55" customHeight="1" x14ac:dyDescent="0.3">
      <c r="A520" s="210" t="str">
        <f>"0015186"</f>
        <v>0015186</v>
      </c>
      <c r="B520" s="170" t="s">
        <v>3899</v>
      </c>
      <c r="C520" s="173" t="str">
        <f>"056327016033"</f>
        <v>056327016033</v>
      </c>
      <c r="D520" s="19" t="s">
        <v>25</v>
      </c>
      <c r="E520" s="145" t="s">
        <v>3367</v>
      </c>
      <c r="F520" s="200">
        <v>44607</v>
      </c>
    </row>
    <row r="521" spans="1:6" s="39" customFormat="1" ht="16.55" customHeight="1" x14ac:dyDescent="0.3">
      <c r="A521" s="210" t="str">
        <f>"0015928"</f>
        <v>0015928</v>
      </c>
      <c r="B521" s="170" t="s">
        <v>3898</v>
      </c>
      <c r="C521" s="173" t="str">
        <f>"855315005697"</f>
        <v>855315005697</v>
      </c>
      <c r="D521" s="19" t="s">
        <v>25</v>
      </c>
      <c r="E521" s="145" t="s">
        <v>3367</v>
      </c>
      <c r="F521" s="200">
        <v>44607</v>
      </c>
    </row>
    <row r="522" spans="1:6" s="39" customFormat="1" ht="16.55" customHeight="1" x14ac:dyDescent="0.3">
      <c r="A522" s="210" t="str">
        <f>"0015884"</f>
        <v>0015884</v>
      </c>
      <c r="B522" s="170" t="s">
        <v>3897</v>
      </c>
      <c r="C522" s="173" t="str">
        <f>"051497147372"</f>
        <v>051497147372</v>
      </c>
      <c r="D522" s="19" t="s">
        <v>25</v>
      </c>
      <c r="E522" s="145" t="s">
        <v>3367</v>
      </c>
      <c r="F522" s="200">
        <v>44589</v>
      </c>
    </row>
    <row r="523" spans="1:6" s="39" customFormat="1" ht="16.55" customHeight="1" x14ac:dyDescent="0.3">
      <c r="A523" s="210" t="str">
        <f>"0016870"</f>
        <v>0016870</v>
      </c>
      <c r="B523" s="170" t="s">
        <v>3895</v>
      </c>
      <c r="C523" s="173" t="str">
        <f>"625640786734"</f>
        <v>625640786734</v>
      </c>
      <c r="D523" s="19" t="s">
        <v>25</v>
      </c>
      <c r="E523" s="145" t="s">
        <v>3367</v>
      </c>
      <c r="F523" s="200">
        <v>44588</v>
      </c>
    </row>
    <row r="524" spans="1:6" s="39" customFormat="1" ht="16.55" customHeight="1" x14ac:dyDescent="0.3">
      <c r="A524" s="210" t="str">
        <f>"0485367"</f>
        <v>0485367</v>
      </c>
      <c r="B524" s="170" t="s">
        <v>3238</v>
      </c>
      <c r="C524" s="173" t="str">
        <f>"625640151419"</f>
        <v>625640151419</v>
      </c>
      <c r="D524" s="19" t="s">
        <v>25</v>
      </c>
      <c r="E524" s="145" t="s">
        <v>3367</v>
      </c>
      <c r="F524" s="200">
        <v>44588</v>
      </c>
    </row>
    <row r="525" spans="1:6" s="39" customFormat="1" ht="16.55" customHeight="1" x14ac:dyDescent="0.3">
      <c r="A525" s="210" t="str">
        <f>"0022621"</f>
        <v>0022621</v>
      </c>
      <c r="B525" s="170" t="s">
        <v>3896</v>
      </c>
      <c r="C525" s="173" t="str">
        <f>"870766000992"</f>
        <v>870766000992</v>
      </c>
      <c r="D525" s="19" t="s">
        <v>25</v>
      </c>
      <c r="E525" s="145" t="s">
        <v>3367</v>
      </c>
      <c r="F525" s="200">
        <v>44607</v>
      </c>
    </row>
    <row r="526" spans="1:6" s="39" customFormat="1" ht="16.55" customHeight="1" x14ac:dyDescent="0.3">
      <c r="A526" s="210" t="str">
        <f>"0015886"</f>
        <v>0015886</v>
      </c>
      <c r="B526" s="170" t="s">
        <v>3224</v>
      </c>
      <c r="C526" s="173" t="str">
        <f>"186360050784"</f>
        <v>186360050784</v>
      </c>
      <c r="D526" s="19" t="s">
        <v>25</v>
      </c>
      <c r="E526" s="145" t="s">
        <v>3367</v>
      </c>
      <c r="F526" s="200">
        <v>44607</v>
      </c>
    </row>
    <row r="527" spans="1:6" s="39" customFormat="1" ht="16.55" customHeight="1" x14ac:dyDescent="0.3">
      <c r="A527" s="210" t="str">
        <f>"0022742"</f>
        <v>0022742</v>
      </c>
      <c r="B527" s="170" t="s">
        <v>3893</v>
      </c>
      <c r="C527" s="173" t="str">
        <f>"186360051392"</f>
        <v>186360051392</v>
      </c>
      <c r="D527" s="19" t="s">
        <v>98</v>
      </c>
      <c r="E527" s="145" t="s">
        <v>3367</v>
      </c>
      <c r="F527" s="200">
        <v>44607</v>
      </c>
    </row>
    <row r="528" spans="1:6" s="39" customFormat="1" ht="41.95" x14ac:dyDescent="0.3">
      <c r="A528" s="222">
        <v>10815</v>
      </c>
      <c r="B528" s="42" t="s">
        <v>3855</v>
      </c>
      <c r="C528" s="173">
        <v>186360010122</v>
      </c>
      <c r="D528" s="33" t="s">
        <v>25</v>
      </c>
      <c r="E528" s="55" t="s">
        <v>3894</v>
      </c>
      <c r="F528" s="204">
        <v>44600</v>
      </c>
    </row>
    <row r="529" spans="1:6" s="39" customFormat="1" ht="41.95" x14ac:dyDescent="0.3">
      <c r="A529" s="222">
        <v>12854</v>
      </c>
      <c r="B529" s="42" t="s">
        <v>3856</v>
      </c>
      <c r="C529" s="173">
        <v>186360010146</v>
      </c>
      <c r="D529" s="33" t="s">
        <v>25</v>
      </c>
      <c r="E529" s="55" t="s">
        <v>3894</v>
      </c>
      <c r="F529" s="204">
        <v>44600</v>
      </c>
    </row>
    <row r="530" spans="1:6" s="39" customFormat="1" ht="41.95" x14ac:dyDescent="0.3">
      <c r="A530" s="222">
        <v>13571</v>
      </c>
      <c r="B530" s="55" t="s">
        <v>3857</v>
      </c>
      <c r="C530" s="173">
        <v>186360001380</v>
      </c>
      <c r="D530" s="33" t="s">
        <v>25</v>
      </c>
      <c r="E530" s="55" t="s">
        <v>3894</v>
      </c>
      <c r="F530" s="204">
        <v>44600</v>
      </c>
    </row>
    <row r="531" spans="1:6" s="39" customFormat="1" ht="41.95" x14ac:dyDescent="0.3">
      <c r="A531" s="222">
        <v>13681</v>
      </c>
      <c r="B531" s="55" t="s">
        <v>3858</v>
      </c>
      <c r="C531" s="173">
        <v>186360000499</v>
      </c>
      <c r="D531" s="33" t="s">
        <v>25</v>
      </c>
      <c r="E531" s="55" t="s">
        <v>3894</v>
      </c>
      <c r="F531" s="204">
        <v>44600</v>
      </c>
    </row>
    <row r="532" spans="1:6" s="39" customFormat="1" ht="41.95" x14ac:dyDescent="0.3">
      <c r="A532" s="222">
        <v>20119</v>
      </c>
      <c r="B532" s="55" t="s">
        <v>3859</v>
      </c>
      <c r="C532" s="173">
        <v>186360010290</v>
      </c>
      <c r="D532" s="33" t="s">
        <v>25</v>
      </c>
      <c r="E532" s="55" t="s">
        <v>3894</v>
      </c>
      <c r="F532" s="204">
        <v>44600</v>
      </c>
    </row>
    <row r="533" spans="1:6" s="39" customFormat="1" ht="41.95" x14ac:dyDescent="0.3">
      <c r="A533" s="222">
        <v>20219</v>
      </c>
      <c r="B533" s="55" t="s">
        <v>2910</v>
      </c>
      <c r="C533" s="173">
        <v>186360050135</v>
      </c>
      <c r="D533" s="33" t="s">
        <v>25</v>
      </c>
      <c r="E533" s="55" t="s">
        <v>3894</v>
      </c>
      <c r="F533" s="204">
        <v>44600</v>
      </c>
    </row>
    <row r="534" spans="1:6" s="39" customFormat="1" ht="41.95" x14ac:dyDescent="0.3">
      <c r="A534" s="222">
        <v>22785</v>
      </c>
      <c r="B534" s="55" t="s">
        <v>3860</v>
      </c>
      <c r="C534" s="173">
        <v>186360051583</v>
      </c>
      <c r="D534" s="33" t="s">
        <v>25</v>
      </c>
      <c r="E534" s="55" t="s">
        <v>3894</v>
      </c>
      <c r="F534" s="204">
        <v>44600</v>
      </c>
    </row>
    <row r="535" spans="1:6" s="39" customFormat="1" ht="41.95" x14ac:dyDescent="0.3">
      <c r="A535" s="222">
        <v>25690</v>
      </c>
      <c r="B535" s="55" t="s">
        <v>3861</v>
      </c>
      <c r="C535" s="173">
        <v>186360051361</v>
      </c>
      <c r="D535" s="33" t="s">
        <v>25</v>
      </c>
      <c r="E535" s="55" t="s">
        <v>3894</v>
      </c>
      <c r="F535" s="204">
        <v>44600</v>
      </c>
    </row>
    <row r="536" spans="1:6" s="39" customFormat="1" ht="41.95" x14ac:dyDescent="0.3">
      <c r="A536" s="222">
        <v>442319</v>
      </c>
      <c r="B536" s="55" t="s">
        <v>3500</v>
      </c>
      <c r="C536" s="173">
        <v>186360000390</v>
      </c>
      <c r="D536" s="33" t="s">
        <v>25</v>
      </c>
      <c r="E536" s="55" t="s">
        <v>3894</v>
      </c>
      <c r="F536" s="204">
        <v>44600</v>
      </c>
    </row>
    <row r="537" spans="1:6" s="39" customFormat="1" ht="41.95" x14ac:dyDescent="0.3">
      <c r="A537" s="222">
        <v>450312</v>
      </c>
      <c r="B537" s="55" t="s">
        <v>3862</v>
      </c>
      <c r="C537" s="173">
        <v>186360010030</v>
      </c>
      <c r="D537" s="33" t="s">
        <v>25</v>
      </c>
      <c r="E537" s="55" t="s">
        <v>3894</v>
      </c>
      <c r="F537" s="204">
        <v>44600</v>
      </c>
    </row>
    <row r="538" spans="1:6" s="39" customFormat="1" ht="41.95" x14ac:dyDescent="0.3">
      <c r="A538" s="222">
        <v>549873</v>
      </c>
      <c r="B538" s="55" t="s">
        <v>3863</v>
      </c>
      <c r="C538" s="173">
        <v>186360050197</v>
      </c>
      <c r="D538" s="33" t="s">
        <v>25</v>
      </c>
      <c r="E538" s="55" t="s">
        <v>3894</v>
      </c>
      <c r="F538" s="204">
        <v>44600</v>
      </c>
    </row>
    <row r="539" spans="1:6" s="39" customFormat="1" ht="41.95" x14ac:dyDescent="0.3">
      <c r="A539" s="222">
        <v>556688</v>
      </c>
      <c r="B539" s="55" t="s">
        <v>3864</v>
      </c>
      <c r="C539" s="173">
        <v>186360050203</v>
      </c>
      <c r="D539" s="33" t="s">
        <v>25</v>
      </c>
      <c r="E539" s="55" t="s">
        <v>3894</v>
      </c>
      <c r="F539" s="204">
        <v>44600</v>
      </c>
    </row>
    <row r="540" spans="1:6" s="39" customFormat="1" ht="16.55" customHeight="1" x14ac:dyDescent="0.3">
      <c r="A540" s="210">
        <v>16465</v>
      </c>
      <c r="B540" s="170" t="s">
        <v>3865</v>
      </c>
      <c r="C540" s="173">
        <v>40232691249</v>
      </c>
      <c r="D540" s="157" t="s">
        <v>555</v>
      </c>
      <c r="E540" s="145" t="s">
        <v>3871</v>
      </c>
      <c r="F540" s="204">
        <v>44600</v>
      </c>
    </row>
    <row r="541" spans="1:6" s="39" customFormat="1" ht="16.55" customHeight="1" x14ac:dyDescent="0.3">
      <c r="A541" s="210">
        <v>19656</v>
      </c>
      <c r="B541" s="170" t="s">
        <v>3866</v>
      </c>
      <c r="C541" s="173">
        <v>51497225513</v>
      </c>
      <c r="D541" s="157" t="s">
        <v>1620</v>
      </c>
      <c r="E541" s="145" t="s">
        <v>3871</v>
      </c>
      <c r="F541" s="204">
        <v>44600</v>
      </c>
    </row>
    <row r="542" spans="1:6" s="39" customFormat="1" ht="16.55" customHeight="1" x14ac:dyDescent="0.3">
      <c r="A542" s="210">
        <v>461822</v>
      </c>
      <c r="B542" s="170" t="s">
        <v>3868</v>
      </c>
      <c r="C542" s="173">
        <v>40232355141</v>
      </c>
      <c r="D542" s="157" t="s">
        <v>25</v>
      </c>
      <c r="E542" s="145" t="s">
        <v>3871</v>
      </c>
      <c r="F542" s="204">
        <v>44600</v>
      </c>
    </row>
    <row r="543" spans="1:6" s="39" customFormat="1" ht="16.55" customHeight="1" x14ac:dyDescent="0.3">
      <c r="A543" s="210">
        <v>519694</v>
      </c>
      <c r="B543" s="170" t="s">
        <v>3869</v>
      </c>
      <c r="C543" s="173">
        <v>40232572777</v>
      </c>
      <c r="D543" s="157" t="s">
        <v>25</v>
      </c>
      <c r="E543" s="145" t="s">
        <v>3871</v>
      </c>
      <c r="F543" s="204">
        <v>44600</v>
      </c>
    </row>
    <row r="544" spans="1:6" s="39" customFormat="1" ht="16.55" customHeight="1" x14ac:dyDescent="0.3">
      <c r="A544" s="210">
        <v>434399</v>
      </c>
      <c r="B544" s="170" t="s">
        <v>3867</v>
      </c>
      <c r="C544" s="173">
        <v>627843374756</v>
      </c>
      <c r="D544" s="157" t="s">
        <v>25</v>
      </c>
      <c r="E544" s="145" t="s">
        <v>3872</v>
      </c>
      <c r="F544" s="204">
        <v>44600</v>
      </c>
    </row>
    <row r="545" spans="1:6" s="39" customFormat="1" ht="16.55" customHeight="1" x14ac:dyDescent="0.3">
      <c r="A545" s="210">
        <v>574475</v>
      </c>
      <c r="B545" s="170" t="s">
        <v>3870</v>
      </c>
      <c r="C545" s="173">
        <v>628055980056</v>
      </c>
      <c r="D545" s="157" t="s">
        <v>25</v>
      </c>
      <c r="E545" s="145" t="s">
        <v>3872</v>
      </c>
      <c r="F545" s="204">
        <v>44600</v>
      </c>
    </row>
    <row r="546" spans="1:6" s="39" customFormat="1" ht="16.55" customHeight="1" x14ac:dyDescent="0.3">
      <c r="A546" s="210">
        <v>166959</v>
      </c>
      <c r="B546" s="170" t="s">
        <v>3887</v>
      </c>
      <c r="C546" s="173" t="s">
        <v>3891</v>
      </c>
      <c r="D546" s="19" t="s">
        <v>202</v>
      </c>
      <c r="E546" s="145" t="s">
        <v>3886</v>
      </c>
      <c r="F546" s="200">
        <v>44593</v>
      </c>
    </row>
    <row r="547" spans="1:6" s="39" customFormat="1" ht="16.55" customHeight="1" x14ac:dyDescent="0.3">
      <c r="A547" s="210">
        <v>270363</v>
      </c>
      <c r="B547" s="170" t="s">
        <v>3888</v>
      </c>
      <c r="C547" s="173" t="s">
        <v>3892</v>
      </c>
      <c r="D547" s="19" t="s">
        <v>202</v>
      </c>
      <c r="E547" s="145" t="s">
        <v>3886</v>
      </c>
      <c r="F547" s="200">
        <v>44593</v>
      </c>
    </row>
    <row r="548" spans="1:6" s="39" customFormat="1" ht="16.55" customHeight="1" x14ac:dyDescent="0.3">
      <c r="A548" s="210">
        <v>378091</v>
      </c>
      <c r="B548" s="170" t="s">
        <v>3889</v>
      </c>
      <c r="C548" s="173" t="s">
        <v>3892</v>
      </c>
      <c r="D548" s="19" t="s">
        <v>202</v>
      </c>
      <c r="E548" s="145" t="s">
        <v>3886</v>
      </c>
      <c r="F548" s="200">
        <v>44593</v>
      </c>
    </row>
    <row r="549" spans="1:6" s="39" customFormat="1" ht="16.55" customHeight="1" x14ac:dyDescent="0.3">
      <c r="A549" s="210">
        <v>458851</v>
      </c>
      <c r="B549" s="170" t="s">
        <v>3890</v>
      </c>
      <c r="C549" s="173">
        <v>87113111809</v>
      </c>
      <c r="D549" s="19" t="s">
        <v>202</v>
      </c>
      <c r="E549" s="145" t="s">
        <v>3886</v>
      </c>
      <c r="F549" s="200">
        <v>44593</v>
      </c>
    </row>
    <row r="550" spans="1:6" s="39" customFormat="1" ht="16.55" customHeight="1" x14ac:dyDescent="0.3">
      <c r="A550" s="155" t="s">
        <v>162</v>
      </c>
      <c r="B550" s="145" t="s">
        <v>3876</v>
      </c>
      <c r="C550" s="133" t="s">
        <v>162</v>
      </c>
      <c r="D550" s="19" t="s">
        <v>162</v>
      </c>
      <c r="E550" s="145" t="s">
        <v>3875</v>
      </c>
      <c r="F550" s="200">
        <v>44593</v>
      </c>
    </row>
    <row r="551" spans="1:6" s="39" customFormat="1" ht="16.55" customHeight="1" x14ac:dyDescent="0.3">
      <c r="A551" s="155" t="s">
        <v>162</v>
      </c>
      <c r="B551" s="145" t="s">
        <v>3877</v>
      </c>
      <c r="C551" s="133" t="s">
        <v>162</v>
      </c>
      <c r="D551" s="19" t="s">
        <v>162</v>
      </c>
      <c r="E551" s="145" t="s">
        <v>3875</v>
      </c>
      <c r="F551" s="200">
        <v>44593</v>
      </c>
    </row>
    <row r="552" spans="1:6" s="39" customFormat="1" ht="16.55" customHeight="1" x14ac:dyDescent="0.3">
      <c r="A552" s="155" t="s">
        <v>162</v>
      </c>
      <c r="B552" s="145" t="s">
        <v>3878</v>
      </c>
      <c r="C552" s="133" t="s">
        <v>162</v>
      </c>
      <c r="D552" s="19" t="s">
        <v>162</v>
      </c>
      <c r="E552" s="145" t="s">
        <v>3875</v>
      </c>
      <c r="F552" s="200">
        <v>44593</v>
      </c>
    </row>
    <row r="553" spans="1:6" s="39" customFormat="1" ht="16.55" customHeight="1" x14ac:dyDescent="0.3">
      <c r="A553" s="155" t="s">
        <v>162</v>
      </c>
      <c r="B553" s="170" t="s">
        <v>3879</v>
      </c>
      <c r="C553" s="133" t="s">
        <v>162</v>
      </c>
      <c r="D553" s="19" t="s">
        <v>162</v>
      </c>
      <c r="E553" s="145" t="s">
        <v>3875</v>
      </c>
      <c r="F553" s="200">
        <v>44593</v>
      </c>
    </row>
    <row r="554" spans="1:6" s="39" customFormat="1" ht="16.55" customHeight="1" x14ac:dyDescent="0.3">
      <c r="A554" s="155" t="s">
        <v>162</v>
      </c>
      <c r="B554" s="170" t="s">
        <v>3880</v>
      </c>
      <c r="C554" s="133" t="s">
        <v>162</v>
      </c>
      <c r="D554" s="19" t="s">
        <v>162</v>
      </c>
      <c r="E554" s="145" t="s">
        <v>3875</v>
      </c>
      <c r="F554" s="200">
        <v>44593</v>
      </c>
    </row>
    <row r="555" spans="1:6" s="39" customFormat="1" ht="16.55" customHeight="1" x14ac:dyDescent="0.3">
      <c r="A555" s="155" t="s">
        <v>162</v>
      </c>
      <c r="B555" s="170" t="s">
        <v>3881</v>
      </c>
      <c r="C555" s="133" t="s">
        <v>162</v>
      </c>
      <c r="D555" s="19" t="s">
        <v>162</v>
      </c>
      <c r="E555" s="145" t="s">
        <v>3875</v>
      </c>
      <c r="F555" s="200">
        <v>44593</v>
      </c>
    </row>
    <row r="556" spans="1:6" s="39" customFormat="1" ht="16.55" customHeight="1" x14ac:dyDescent="0.3">
      <c r="A556" s="155" t="s">
        <v>162</v>
      </c>
      <c r="B556" s="170" t="s">
        <v>3882</v>
      </c>
      <c r="C556" s="133" t="s">
        <v>162</v>
      </c>
      <c r="D556" s="19" t="s">
        <v>162</v>
      </c>
      <c r="E556" s="145" t="s">
        <v>3875</v>
      </c>
      <c r="F556" s="200">
        <v>44593</v>
      </c>
    </row>
    <row r="557" spans="1:6" s="39" customFormat="1" ht="16.55" customHeight="1" x14ac:dyDescent="0.3">
      <c r="A557" s="155" t="s">
        <v>162</v>
      </c>
      <c r="B557" s="170" t="s">
        <v>3884</v>
      </c>
      <c r="C557" s="133" t="s">
        <v>162</v>
      </c>
      <c r="D557" s="19" t="s">
        <v>162</v>
      </c>
      <c r="E557" s="145" t="s">
        <v>3875</v>
      </c>
      <c r="F557" s="200">
        <v>44593</v>
      </c>
    </row>
    <row r="558" spans="1:6" s="39" customFormat="1" ht="16.55" customHeight="1" x14ac:dyDescent="0.3">
      <c r="A558" s="155" t="s">
        <v>162</v>
      </c>
      <c r="B558" s="170" t="s">
        <v>3883</v>
      </c>
      <c r="C558" s="133" t="s">
        <v>162</v>
      </c>
      <c r="D558" s="19" t="s">
        <v>162</v>
      </c>
      <c r="E558" s="145" t="s">
        <v>3875</v>
      </c>
      <c r="F558" s="200">
        <v>44593</v>
      </c>
    </row>
    <row r="559" spans="1:6" s="39" customFormat="1" ht="16.55" customHeight="1" x14ac:dyDescent="0.3">
      <c r="A559" s="155" t="s">
        <v>162</v>
      </c>
      <c r="B559" s="170" t="s">
        <v>3885</v>
      </c>
      <c r="C559" s="133" t="s">
        <v>162</v>
      </c>
      <c r="D559" s="19" t="s">
        <v>162</v>
      </c>
      <c r="E559" s="145" t="s">
        <v>3875</v>
      </c>
      <c r="F559" s="200">
        <v>44593</v>
      </c>
    </row>
    <row r="560" spans="1:6" s="39" customFormat="1" ht="16.55" customHeight="1" x14ac:dyDescent="0.3">
      <c r="A560" s="210">
        <v>323725</v>
      </c>
      <c r="B560" s="170" t="s">
        <v>3873</v>
      </c>
      <c r="C560" s="173">
        <v>8015674830862</v>
      </c>
      <c r="D560" s="19" t="s">
        <v>202</v>
      </c>
      <c r="E560" s="145" t="s">
        <v>3367</v>
      </c>
      <c r="F560" s="204">
        <v>44583</v>
      </c>
    </row>
    <row r="561" spans="1:6" s="39" customFormat="1" ht="16.55" customHeight="1" x14ac:dyDescent="0.3">
      <c r="A561" s="210">
        <v>76521</v>
      </c>
      <c r="B561" s="170" t="s">
        <v>3874</v>
      </c>
      <c r="C561" s="173">
        <v>8001935361404</v>
      </c>
      <c r="D561" s="19" t="s">
        <v>202</v>
      </c>
      <c r="E561" s="145" t="s">
        <v>3367</v>
      </c>
      <c r="F561" s="204">
        <v>44583</v>
      </c>
    </row>
    <row r="562" spans="1:6" s="39" customFormat="1" ht="17.600000000000001" customHeight="1" x14ac:dyDescent="0.3">
      <c r="A562" s="210" t="str">
        <f>"0481283"</f>
        <v>0481283</v>
      </c>
      <c r="B562" s="170" t="s">
        <v>3853</v>
      </c>
      <c r="C562" s="173" t="str">
        <f>"064294797749"</f>
        <v>064294797749</v>
      </c>
      <c r="D562" s="33" t="s">
        <v>25</v>
      </c>
      <c r="E562" s="145" t="s">
        <v>3854</v>
      </c>
      <c r="F562" s="204">
        <v>44579</v>
      </c>
    </row>
    <row r="563" spans="1:6" s="39" customFormat="1" ht="16.55" customHeight="1" x14ac:dyDescent="0.3">
      <c r="A563" s="210" t="str">
        <f>"0014998"</f>
        <v>0014998</v>
      </c>
      <c r="B563" s="170" t="s">
        <v>3852</v>
      </c>
      <c r="C563" s="173" t="str">
        <f>"056327015692"</f>
        <v>056327015692</v>
      </c>
      <c r="D563" s="157" t="s">
        <v>25</v>
      </c>
      <c r="E563" s="145" t="s">
        <v>3367</v>
      </c>
      <c r="F563" s="204">
        <v>44593</v>
      </c>
    </row>
    <row r="564" spans="1:6" ht="29.7" customHeight="1" x14ac:dyDescent="0.3">
      <c r="A564" s="217">
        <v>17762</v>
      </c>
      <c r="B564" s="170" t="s">
        <v>3847</v>
      </c>
      <c r="C564" s="218">
        <v>9300727020789</v>
      </c>
      <c r="D564" s="19" t="s">
        <v>202</v>
      </c>
      <c r="E564" s="172" t="s">
        <v>3848</v>
      </c>
      <c r="F564" s="219">
        <v>44572</v>
      </c>
    </row>
    <row r="565" spans="1:6" ht="31.3" customHeight="1" x14ac:dyDescent="0.3">
      <c r="A565" s="217">
        <v>419986</v>
      </c>
      <c r="B565" s="170" t="s">
        <v>3846</v>
      </c>
      <c r="C565" s="218">
        <v>9300727018311</v>
      </c>
      <c r="D565" s="19" t="s">
        <v>202</v>
      </c>
      <c r="E565" s="172" t="s">
        <v>3849</v>
      </c>
      <c r="F565" s="219">
        <v>44572</v>
      </c>
    </row>
    <row r="566" spans="1:6" s="39" customFormat="1" x14ac:dyDescent="0.3">
      <c r="A566" s="210" t="str">
        <f>"0020067"</f>
        <v>0020067</v>
      </c>
      <c r="B566" s="170" t="s">
        <v>3840</v>
      </c>
      <c r="C566" s="173" t="str">
        <f>"779446204241"</f>
        <v>779446204241</v>
      </c>
      <c r="D566" s="157" t="s">
        <v>25</v>
      </c>
      <c r="E566" s="145" t="s">
        <v>3367</v>
      </c>
      <c r="F566" s="204">
        <v>44586</v>
      </c>
    </row>
    <row r="567" spans="1:6" s="39" customFormat="1" x14ac:dyDescent="0.3">
      <c r="A567" s="210" t="str">
        <f>"0455998"</f>
        <v>0455998</v>
      </c>
      <c r="B567" s="170" t="s">
        <v>3841</v>
      </c>
      <c r="C567" s="173" t="str">
        <f>"9007600303297"</f>
        <v>9007600303297</v>
      </c>
      <c r="D567" s="157" t="s">
        <v>48</v>
      </c>
      <c r="E567" s="145" t="s">
        <v>3367</v>
      </c>
      <c r="F567" s="204">
        <v>44586</v>
      </c>
    </row>
    <row r="568" spans="1:6" s="39" customFormat="1" x14ac:dyDescent="0.3">
      <c r="A568" s="210" t="str">
        <f>"0015994"</f>
        <v>0015994</v>
      </c>
      <c r="B568" s="170" t="s">
        <v>3014</v>
      </c>
      <c r="C568" s="173" t="str">
        <f>"628669091940"</f>
        <v>628669091940</v>
      </c>
      <c r="D568" s="157" t="s">
        <v>25</v>
      </c>
      <c r="E568" s="145" t="s">
        <v>3850</v>
      </c>
      <c r="F568" s="204">
        <v>44586</v>
      </c>
    </row>
    <row r="569" spans="1:6" s="39" customFormat="1" x14ac:dyDescent="0.3">
      <c r="A569" s="210" t="str">
        <f>"0494740"</f>
        <v>0494740</v>
      </c>
      <c r="B569" s="170" t="s">
        <v>3842</v>
      </c>
      <c r="C569" s="173" t="str">
        <f>"627843732037"</f>
        <v>627843732037</v>
      </c>
      <c r="D569" s="157" t="s">
        <v>294</v>
      </c>
      <c r="E569" s="145" t="s">
        <v>3367</v>
      </c>
      <c r="F569" s="204">
        <v>44586</v>
      </c>
    </row>
    <row r="570" spans="1:6" s="39" customFormat="1" x14ac:dyDescent="0.3">
      <c r="A570" s="210" t="str">
        <f>"0015897"</f>
        <v>0015897</v>
      </c>
      <c r="B570" s="170" t="s">
        <v>3843</v>
      </c>
      <c r="C570" s="173" t="str">
        <f>"0702915000723"</f>
        <v>0702915000723</v>
      </c>
      <c r="D570" s="157" t="s">
        <v>98</v>
      </c>
      <c r="E570" s="145" t="s">
        <v>3367</v>
      </c>
      <c r="F570" s="204">
        <v>44572</v>
      </c>
    </row>
    <row r="571" spans="1:6" s="39" customFormat="1" x14ac:dyDescent="0.3">
      <c r="A571" s="210" t="str">
        <f>"0634733"</f>
        <v>0634733</v>
      </c>
      <c r="B571" s="170" t="s">
        <v>3851</v>
      </c>
      <c r="C571" s="173" t="str">
        <f>"627843680802"</f>
        <v>627843680802</v>
      </c>
      <c r="D571" s="157" t="s">
        <v>48</v>
      </c>
      <c r="E571" s="145" t="s">
        <v>3367</v>
      </c>
      <c r="F571" s="204">
        <v>44572</v>
      </c>
    </row>
    <row r="572" spans="1:6" ht="44.6" customHeight="1" x14ac:dyDescent="0.3">
      <c r="A572" s="220" t="str">
        <f>"0613497"</f>
        <v>0613497</v>
      </c>
      <c r="B572" s="172" t="s">
        <v>3844</v>
      </c>
      <c r="C572" s="182" t="str">
        <f>"776029701548"</f>
        <v>776029701548</v>
      </c>
      <c r="D572" s="157" t="s">
        <v>25</v>
      </c>
      <c r="E572" s="172" t="s">
        <v>3845</v>
      </c>
      <c r="F572" s="221">
        <v>44600</v>
      </c>
    </row>
    <row r="573" spans="1:6" s="39" customFormat="1" x14ac:dyDescent="0.3">
      <c r="A573" s="210">
        <v>358911</v>
      </c>
      <c r="B573" s="170" t="s">
        <v>444</v>
      </c>
      <c r="C573" s="173">
        <v>1220000070103</v>
      </c>
      <c r="D573" s="157" t="s">
        <v>202</v>
      </c>
      <c r="E573" s="145" t="s">
        <v>3367</v>
      </c>
      <c r="F573" s="204">
        <v>44566</v>
      </c>
    </row>
    <row r="574" spans="1:6" s="39" customFormat="1" x14ac:dyDescent="0.3">
      <c r="A574" s="210">
        <v>428599</v>
      </c>
      <c r="B574" s="170" t="s">
        <v>3838</v>
      </c>
      <c r="C574" s="173" t="s">
        <v>3839</v>
      </c>
      <c r="D574" s="157" t="s">
        <v>202</v>
      </c>
      <c r="E574" s="145" t="s">
        <v>3367</v>
      </c>
      <c r="F574" s="204">
        <v>44566</v>
      </c>
    </row>
    <row r="575" spans="1:6" s="39" customFormat="1" x14ac:dyDescent="0.3">
      <c r="A575" s="210" t="str">
        <f>"568410"</f>
        <v>568410</v>
      </c>
      <c r="B575" s="170" t="s">
        <v>3077</v>
      </c>
      <c r="C575" s="173" t="str">
        <f>"8716700017423"</f>
        <v>8716700017423</v>
      </c>
      <c r="D575" s="33" t="s">
        <v>48</v>
      </c>
      <c r="E575" s="145" t="s">
        <v>3367</v>
      </c>
      <c r="F575" s="204">
        <v>44566</v>
      </c>
    </row>
    <row r="576" spans="1:6" s="39" customFormat="1" x14ac:dyDescent="0.3">
      <c r="A576" s="210" t="str">
        <f>"464867"</f>
        <v>464867</v>
      </c>
      <c r="B576" s="170" t="s">
        <v>3830</v>
      </c>
      <c r="C576" s="173" t="str">
        <f>"400002234562"</f>
        <v>400002234562</v>
      </c>
      <c r="D576" s="33" t="s">
        <v>25</v>
      </c>
      <c r="E576" s="145" t="s">
        <v>3367</v>
      </c>
      <c r="F576" s="204">
        <v>44566</v>
      </c>
    </row>
    <row r="577" spans="1:6" s="39" customFormat="1" ht="13.3" customHeight="1" x14ac:dyDescent="0.3">
      <c r="A577" s="189">
        <v>620773</v>
      </c>
      <c r="B577" s="188" t="s">
        <v>2848</v>
      </c>
      <c r="C577" s="190">
        <v>8002062001652</v>
      </c>
      <c r="D577" s="33" t="s">
        <v>202</v>
      </c>
      <c r="E577" s="172" t="s">
        <v>3823</v>
      </c>
      <c r="F577" s="178">
        <v>44565</v>
      </c>
    </row>
    <row r="578" spans="1:6" s="39" customFormat="1" ht="13.3" customHeight="1" x14ac:dyDescent="0.3">
      <c r="A578" s="110">
        <v>564674</v>
      </c>
      <c r="B578" s="172" t="s">
        <v>3354</v>
      </c>
      <c r="C578" s="117">
        <v>8002062008132</v>
      </c>
      <c r="D578" s="157" t="s">
        <v>202</v>
      </c>
      <c r="E578" s="172" t="s">
        <v>3824</v>
      </c>
      <c r="F578" s="178">
        <v>44565</v>
      </c>
    </row>
    <row r="579" spans="1:6" s="39" customFormat="1" ht="12.65" customHeight="1" x14ac:dyDescent="0.3">
      <c r="A579" s="210">
        <v>630160</v>
      </c>
      <c r="B579" s="170" t="s">
        <v>3819</v>
      </c>
      <c r="C579" s="173">
        <v>63657038567</v>
      </c>
      <c r="D579" s="33" t="s">
        <v>202</v>
      </c>
      <c r="E579" s="145" t="s">
        <v>3367</v>
      </c>
      <c r="F579" s="204">
        <v>44572</v>
      </c>
    </row>
    <row r="580" spans="1:6" s="39" customFormat="1" ht="13.3" customHeight="1" x14ac:dyDescent="0.3">
      <c r="A580" s="210" t="str">
        <f>"0014598"</f>
        <v>0014598</v>
      </c>
      <c r="B580" s="170" t="s">
        <v>3836</v>
      </c>
      <c r="C580" s="173" t="str">
        <f>"628055351115"</f>
        <v>628055351115</v>
      </c>
      <c r="D580" s="33" t="s">
        <v>25</v>
      </c>
      <c r="E580" s="145" t="s">
        <v>3367</v>
      </c>
      <c r="F580" s="204">
        <v>44572</v>
      </c>
    </row>
    <row r="581" spans="1:6" s="39" customFormat="1" ht="13.3" customHeight="1" x14ac:dyDescent="0.3">
      <c r="A581" s="210" t="str">
        <f>"0635052"</f>
        <v>0635052</v>
      </c>
      <c r="B581" s="170" t="s">
        <v>3837</v>
      </c>
      <c r="C581" s="173" t="str">
        <f>"627843992028"</f>
        <v>627843992028</v>
      </c>
      <c r="D581" s="33" t="s">
        <v>25</v>
      </c>
      <c r="E581" s="145" t="s">
        <v>3367</v>
      </c>
      <c r="F581" s="204">
        <v>44572</v>
      </c>
    </row>
    <row r="582" spans="1:6" s="39" customFormat="1" x14ac:dyDescent="0.3">
      <c r="A582" s="215">
        <v>216028</v>
      </c>
      <c r="B582" s="170" t="s">
        <v>3804</v>
      </c>
      <c r="C582" s="173">
        <v>777081720621</v>
      </c>
      <c r="D582" s="33" t="s">
        <v>202</v>
      </c>
      <c r="E582" s="145" t="s">
        <v>3367</v>
      </c>
      <c r="F582" s="204">
        <v>44228</v>
      </c>
    </row>
  </sheetData>
  <autoFilter ref="A3:F582" xr:uid="{7846CCCA-88C0-45A5-98AF-F94C5B42ABB8}"/>
  <printOptions gridLines="1"/>
  <pageMargins left="0" right="0" top="0.5" bottom="0.5" header="0.3" footer="0.3"/>
  <pageSetup paperSize="5" scale="86" fitToWidth="0" fitToHeight="0" orientation="landscape" horizontalDpi="300" verticalDpi="300" r:id="rId1"/>
  <headerFooter>
    <oddHeader>&amp;R&amp;D</oddHeader>
  </headerFooter>
  <ignoredErrors>
    <ignoredError sqref="C574 C497 C449:C454 C439:C440 C245:C247 C237 C214 C216 C193:C197 C185 C138 A136:A139 C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4"/>
  <sheetViews>
    <sheetView topLeftCell="A121" zoomScale="80" zoomScaleNormal="80" workbookViewId="0">
      <selection activeCell="E152" sqref="E152"/>
    </sheetView>
  </sheetViews>
  <sheetFormatPr defaultColWidth="9.09765625" defaultRowHeight="14" x14ac:dyDescent="0.3"/>
  <cols>
    <col min="1" max="1" width="10.3984375" style="4" customWidth="1"/>
    <col min="2" max="2" width="54.3984375" style="64" bestFit="1" customWidth="1"/>
    <col min="3" max="3" width="18.09765625" style="23" customWidth="1"/>
    <col min="4" max="4" width="8.8984375" style="4" customWidth="1"/>
    <col min="5" max="5" width="87.8984375" style="64" customWidth="1"/>
    <col min="6" max="6" width="18.09765625" style="1" bestFit="1" customWidth="1"/>
    <col min="7" max="7" width="24.09765625" style="64" customWidth="1"/>
    <col min="8" max="8" width="18.3984375" style="64" bestFit="1" customWidth="1"/>
    <col min="9" max="16384" width="9.09765625" style="64"/>
  </cols>
  <sheetData>
    <row r="1" spans="1:9" ht="19.75" customHeight="1" x14ac:dyDescent="0.3">
      <c r="A1" s="28" t="s">
        <v>0</v>
      </c>
      <c r="D1" s="116"/>
      <c r="E1" s="59"/>
    </row>
    <row r="2" spans="1:9" s="79" customFormat="1" ht="18.55" customHeight="1" x14ac:dyDescent="0.3">
      <c r="A2" s="64"/>
      <c r="B2" s="64"/>
      <c r="C2" s="64"/>
      <c r="D2" s="64"/>
      <c r="E2" s="177"/>
      <c r="F2" s="64"/>
      <c r="G2" s="64"/>
      <c r="H2" s="64"/>
      <c r="I2" s="139"/>
    </row>
    <row r="3" spans="1:9" ht="28.5" customHeight="1" x14ac:dyDescent="0.3">
      <c r="A3" s="27" t="s">
        <v>1</v>
      </c>
      <c r="B3" s="92" t="s">
        <v>2</v>
      </c>
      <c r="C3" s="92" t="s">
        <v>23</v>
      </c>
      <c r="D3" s="92" t="s">
        <v>3</v>
      </c>
      <c r="E3" s="113" t="s">
        <v>17</v>
      </c>
      <c r="F3" s="93" t="s">
        <v>4</v>
      </c>
    </row>
    <row r="4" spans="1:9" s="39" customFormat="1" x14ac:dyDescent="0.3">
      <c r="A4" s="210" t="str">
        <f>"0568410"</f>
        <v>0568410</v>
      </c>
      <c r="B4" s="170" t="s">
        <v>3077</v>
      </c>
      <c r="C4" s="173" t="str">
        <f>"8716700017423"</f>
        <v>8716700017423</v>
      </c>
      <c r="D4" s="33" t="s">
        <v>48</v>
      </c>
      <c r="E4" s="145" t="s">
        <v>3367</v>
      </c>
      <c r="F4" s="204">
        <v>44566</v>
      </c>
    </row>
    <row r="5" spans="1:9" s="39" customFormat="1" x14ac:dyDescent="0.3">
      <c r="A5" s="210">
        <v>13459</v>
      </c>
      <c r="B5" s="170" t="s">
        <v>3834</v>
      </c>
      <c r="C5" s="173" t="s">
        <v>3835</v>
      </c>
      <c r="D5" s="33" t="s">
        <v>202</v>
      </c>
      <c r="E5" s="145" t="s">
        <v>3833</v>
      </c>
      <c r="F5" s="204">
        <v>44551</v>
      </c>
    </row>
    <row r="6" spans="1:9" x14ac:dyDescent="0.3">
      <c r="A6" s="210" t="str">
        <f>"0023123"</f>
        <v>0023123</v>
      </c>
      <c r="B6" s="213" t="s">
        <v>3831</v>
      </c>
      <c r="C6" s="173" t="str">
        <f>"628634694107"</f>
        <v>628634694107</v>
      </c>
      <c r="D6" s="211" t="s">
        <v>25</v>
      </c>
      <c r="E6" s="172" t="s">
        <v>3832</v>
      </c>
      <c r="F6" s="204">
        <v>44546</v>
      </c>
    </row>
    <row r="7" spans="1:9" s="39" customFormat="1" x14ac:dyDescent="0.3">
      <c r="A7" s="210" t="str">
        <f>"0464867"</f>
        <v>0464867</v>
      </c>
      <c r="B7" s="170" t="s">
        <v>3830</v>
      </c>
      <c r="C7" s="173" t="str">
        <f>"400002234562"</f>
        <v>400002234562</v>
      </c>
      <c r="D7" s="33" t="s">
        <v>25</v>
      </c>
      <c r="E7" s="145" t="s">
        <v>3367</v>
      </c>
      <c r="F7" s="204">
        <v>44566</v>
      </c>
    </row>
    <row r="8" spans="1:9" s="39" customFormat="1" x14ac:dyDescent="0.3">
      <c r="A8" s="210" t="str">
        <f>"0010111"</f>
        <v>0010111</v>
      </c>
      <c r="B8" s="170" t="s">
        <v>3826</v>
      </c>
      <c r="C8" s="173" t="str">
        <f>"040232284793"</f>
        <v>040232284793</v>
      </c>
      <c r="D8" s="33" t="s">
        <v>25</v>
      </c>
      <c r="E8" s="145" t="s">
        <v>3367</v>
      </c>
      <c r="F8" s="204">
        <v>44546</v>
      </c>
    </row>
    <row r="9" spans="1:9" s="39" customFormat="1" x14ac:dyDescent="0.3">
      <c r="A9" s="210" t="str">
        <f>"0013526"</f>
        <v>0013526</v>
      </c>
      <c r="B9" s="170" t="s">
        <v>3827</v>
      </c>
      <c r="C9" s="173" t="str">
        <f>"666960000025"</f>
        <v>666960000025</v>
      </c>
      <c r="D9" s="33" t="s">
        <v>25</v>
      </c>
      <c r="E9" s="145" t="s">
        <v>3367</v>
      </c>
      <c r="F9" s="204">
        <v>44546</v>
      </c>
    </row>
    <row r="10" spans="1:9" s="39" customFormat="1" x14ac:dyDescent="0.3">
      <c r="A10" s="210" t="str">
        <f>"0016122"</f>
        <v>0016122</v>
      </c>
      <c r="B10" s="170" t="s">
        <v>3828</v>
      </c>
      <c r="C10" s="173" t="str">
        <f>"666960000070"</f>
        <v>666960000070</v>
      </c>
      <c r="D10" s="33" t="s">
        <v>25</v>
      </c>
      <c r="E10" s="145" t="s">
        <v>3367</v>
      </c>
      <c r="F10" s="204">
        <v>44546</v>
      </c>
    </row>
    <row r="11" spans="1:9" s="39" customFormat="1" x14ac:dyDescent="0.3">
      <c r="A11" s="210" t="str">
        <f>"0643122"</f>
        <v>0643122</v>
      </c>
      <c r="B11" s="170" t="s">
        <v>3829</v>
      </c>
      <c r="C11" s="173" t="str">
        <f>"666960000056"</f>
        <v>666960000056</v>
      </c>
      <c r="D11" s="33" t="s">
        <v>25</v>
      </c>
      <c r="E11" s="145" t="s">
        <v>3367</v>
      </c>
      <c r="F11" s="204">
        <v>44546</v>
      </c>
    </row>
    <row r="12" spans="1:9" s="39" customFormat="1" x14ac:dyDescent="0.3">
      <c r="A12" s="210" t="str">
        <f>"0016830"</f>
        <v>0016830</v>
      </c>
      <c r="B12" s="170" t="s">
        <v>3825</v>
      </c>
      <c r="C12" s="173" t="str">
        <f>"051497010195"</f>
        <v>051497010195</v>
      </c>
      <c r="D12" s="33" t="s">
        <v>25</v>
      </c>
      <c r="E12" s="145" t="s">
        <v>3367</v>
      </c>
      <c r="F12" s="204">
        <v>44546</v>
      </c>
    </row>
    <row r="13" spans="1:9" s="39" customFormat="1" ht="13.3" customHeight="1" x14ac:dyDescent="0.3">
      <c r="A13" s="189">
        <v>620773</v>
      </c>
      <c r="B13" s="188" t="s">
        <v>2848</v>
      </c>
      <c r="C13" s="190">
        <v>8002062001652</v>
      </c>
      <c r="D13" s="33" t="s">
        <v>202</v>
      </c>
      <c r="E13" s="172" t="s">
        <v>3823</v>
      </c>
      <c r="F13" s="178">
        <v>44565</v>
      </c>
    </row>
    <row r="14" spans="1:9" s="39" customFormat="1" ht="13.3" customHeight="1" x14ac:dyDescent="0.3">
      <c r="A14" s="110">
        <v>564674</v>
      </c>
      <c r="B14" s="172" t="s">
        <v>3354</v>
      </c>
      <c r="C14" s="117">
        <v>8002062008132</v>
      </c>
      <c r="D14" s="157" t="s">
        <v>202</v>
      </c>
      <c r="E14" s="172" t="s">
        <v>3824</v>
      </c>
      <c r="F14" s="178">
        <v>44565</v>
      </c>
    </row>
    <row r="15" spans="1:9" s="39" customFormat="1" ht="13.3" customHeight="1" x14ac:dyDescent="0.3">
      <c r="A15" s="210">
        <v>295931</v>
      </c>
      <c r="B15" s="170" t="s">
        <v>3822</v>
      </c>
      <c r="C15" s="173">
        <v>724826071227</v>
      </c>
      <c r="D15" s="33" t="s">
        <v>202</v>
      </c>
      <c r="E15" s="145" t="s">
        <v>3367</v>
      </c>
      <c r="F15" s="204">
        <v>44544</v>
      </c>
    </row>
    <row r="16" spans="1:9" s="39" customFormat="1" ht="13.3" customHeight="1" x14ac:dyDescent="0.3">
      <c r="A16" s="210">
        <v>647404</v>
      </c>
      <c r="B16" s="170" t="s">
        <v>3821</v>
      </c>
      <c r="C16" s="173">
        <v>833302001600</v>
      </c>
      <c r="D16" s="33" t="s">
        <v>202</v>
      </c>
      <c r="E16" s="145" t="s">
        <v>3367</v>
      </c>
      <c r="F16" s="204">
        <v>44544</v>
      </c>
    </row>
    <row r="17" spans="1:6" s="39" customFormat="1" ht="13.3" customHeight="1" x14ac:dyDescent="0.3">
      <c r="A17" s="210">
        <v>16191</v>
      </c>
      <c r="B17" s="170" t="s">
        <v>3820</v>
      </c>
      <c r="C17" s="173">
        <v>8425402260333</v>
      </c>
      <c r="D17" s="33" t="s">
        <v>202</v>
      </c>
      <c r="E17" s="145" t="s">
        <v>3367</v>
      </c>
      <c r="F17" s="204">
        <v>44544</v>
      </c>
    </row>
    <row r="18" spans="1:6" s="39" customFormat="1" ht="13.3" customHeight="1" x14ac:dyDescent="0.3">
      <c r="A18" s="210">
        <v>630160</v>
      </c>
      <c r="B18" s="170" t="s">
        <v>3819</v>
      </c>
      <c r="C18" s="173">
        <v>63657038567</v>
      </c>
      <c r="D18" s="33" t="s">
        <v>202</v>
      </c>
      <c r="E18" s="145" t="s">
        <v>3367</v>
      </c>
      <c r="F18" s="204">
        <v>44572</v>
      </c>
    </row>
    <row r="19" spans="1:6" s="39" customFormat="1" ht="13.3" customHeight="1" x14ac:dyDescent="0.3">
      <c r="A19" s="215" t="str">
        <f>"0015469"</f>
        <v>0015469</v>
      </c>
      <c r="B19" s="170" t="s">
        <v>3818</v>
      </c>
      <c r="C19" s="173" t="str">
        <f>"627005074012"</f>
        <v>627005074012</v>
      </c>
      <c r="D19" s="33" t="s">
        <v>25</v>
      </c>
      <c r="E19" s="145" t="s">
        <v>3367</v>
      </c>
      <c r="F19" s="204">
        <v>44539</v>
      </c>
    </row>
    <row r="20" spans="1:6" ht="27.95" x14ac:dyDescent="0.3">
      <c r="A20" s="210" t="str">
        <f>"0617720"</f>
        <v>0617720</v>
      </c>
      <c r="B20" s="213" t="s">
        <v>3253</v>
      </c>
      <c r="C20" s="173" t="str">
        <f>"7501064196126"</f>
        <v>7501064196126</v>
      </c>
      <c r="D20" s="211" t="s">
        <v>29</v>
      </c>
      <c r="E20" s="172" t="s">
        <v>3817</v>
      </c>
      <c r="F20" s="204">
        <v>44551</v>
      </c>
    </row>
    <row r="21" spans="1:6" ht="41.95" x14ac:dyDescent="0.3">
      <c r="A21" s="210" t="str">
        <f>"0559765"</f>
        <v>0559765</v>
      </c>
      <c r="B21" s="213" t="s">
        <v>3815</v>
      </c>
      <c r="C21" s="173" t="str">
        <f>"666960900004"</f>
        <v>666960900004</v>
      </c>
      <c r="D21" s="211" t="s">
        <v>25</v>
      </c>
      <c r="E21" s="172" t="s">
        <v>3816</v>
      </c>
      <c r="F21" s="204">
        <v>44551</v>
      </c>
    </row>
    <row r="22" spans="1:6" s="39" customFormat="1" ht="14.1" customHeight="1" x14ac:dyDescent="0.3">
      <c r="A22" s="215">
        <v>618017</v>
      </c>
      <c r="B22" s="170" t="s">
        <v>3813</v>
      </c>
      <c r="C22" s="173">
        <v>8003625092087</v>
      </c>
      <c r="D22" s="33" t="s">
        <v>202</v>
      </c>
      <c r="E22" s="145" t="s">
        <v>3367</v>
      </c>
      <c r="F22" s="204">
        <v>44537</v>
      </c>
    </row>
    <row r="23" spans="1:6" s="39" customFormat="1" x14ac:dyDescent="0.3">
      <c r="A23" s="215">
        <v>553933</v>
      </c>
      <c r="B23" s="170" t="s">
        <v>3814</v>
      </c>
      <c r="C23" s="173">
        <v>3500610081576</v>
      </c>
      <c r="D23" s="33" t="s">
        <v>202</v>
      </c>
      <c r="E23" s="145" t="s">
        <v>3367</v>
      </c>
      <c r="F23" s="204">
        <v>44537</v>
      </c>
    </row>
    <row r="24" spans="1:6" s="39" customFormat="1" x14ac:dyDescent="0.3">
      <c r="A24" s="215">
        <v>22384</v>
      </c>
      <c r="B24" s="170" t="s">
        <v>3812</v>
      </c>
      <c r="C24" s="173">
        <v>3497120000015</v>
      </c>
      <c r="D24" s="33" t="s">
        <v>202</v>
      </c>
      <c r="E24" s="145" t="s">
        <v>3367</v>
      </c>
      <c r="F24" s="204">
        <v>44551</v>
      </c>
    </row>
    <row r="25" spans="1:6" s="39" customFormat="1" ht="13.3" customHeight="1" x14ac:dyDescent="0.3">
      <c r="A25" s="215">
        <v>255851</v>
      </c>
      <c r="B25" s="170" t="s">
        <v>3811</v>
      </c>
      <c r="C25" s="173">
        <v>5601194404787</v>
      </c>
      <c r="D25" s="33" t="s">
        <v>202</v>
      </c>
      <c r="E25" s="145" t="s">
        <v>3367</v>
      </c>
      <c r="F25" s="204">
        <v>44551</v>
      </c>
    </row>
    <row r="26" spans="1:6" s="39" customFormat="1" x14ac:dyDescent="0.3">
      <c r="A26" s="210">
        <v>249078</v>
      </c>
      <c r="B26" s="170" t="s">
        <v>3810</v>
      </c>
      <c r="C26" s="173">
        <v>621605453109</v>
      </c>
      <c r="D26" s="33" t="s">
        <v>202</v>
      </c>
      <c r="E26" s="145" t="s">
        <v>3367</v>
      </c>
      <c r="F26" s="204">
        <v>44551</v>
      </c>
    </row>
    <row r="27" spans="1:6" s="39" customFormat="1" x14ac:dyDescent="0.3">
      <c r="A27" s="210">
        <v>576942</v>
      </c>
      <c r="B27" s="170" t="s">
        <v>3809</v>
      </c>
      <c r="C27" s="173">
        <v>776545600011</v>
      </c>
      <c r="D27" s="33" t="s">
        <v>202</v>
      </c>
      <c r="E27" s="145" t="s">
        <v>3367</v>
      </c>
      <c r="F27" s="204">
        <v>44551</v>
      </c>
    </row>
    <row r="28" spans="1:6" s="39" customFormat="1" x14ac:dyDescent="0.3">
      <c r="A28" s="215" t="str">
        <f>"0420026"</f>
        <v>0420026</v>
      </c>
      <c r="B28" s="170" t="s">
        <v>3808</v>
      </c>
      <c r="C28" s="173" t="str">
        <f>"818278000635"</f>
        <v>818278000635</v>
      </c>
      <c r="D28" s="33" t="s">
        <v>25</v>
      </c>
      <c r="E28" s="145" t="s">
        <v>3367</v>
      </c>
      <c r="F28" s="204">
        <v>44551</v>
      </c>
    </row>
    <row r="29" spans="1:6" ht="28.5" customHeight="1" x14ac:dyDescent="0.3">
      <c r="A29" s="210" t="str">
        <f>"0639831"</f>
        <v>0639831</v>
      </c>
      <c r="B29" s="213" t="s">
        <v>3782</v>
      </c>
      <c r="C29" s="173" t="str">
        <f>"628055774006"</f>
        <v>628055774006</v>
      </c>
      <c r="D29" s="211" t="s">
        <v>25</v>
      </c>
      <c r="E29" s="172" t="s">
        <v>3807</v>
      </c>
      <c r="F29" s="204">
        <v>44531</v>
      </c>
    </row>
    <row r="30" spans="1:6" s="39" customFormat="1" x14ac:dyDescent="0.3">
      <c r="A30" s="215" t="str">
        <f>"0020138"</f>
        <v>0020138</v>
      </c>
      <c r="B30" s="170" t="s">
        <v>3806</v>
      </c>
      <c r="C30" s="173" t="str">
        <f>"776029705614"</f>
        <v>776029705614</v>
      </c>
      <c r="D30" s="33" t="s">
        <v>25</v>
      </c>
      <c r="E30" s="145" t="s">
        <v>3367</v>
      </c>
      <c r="F30" s="204">
        <v>44551</v>
      </c>
    </row>
    <row r="31" spans="1:6" s="39" customFormat="1" x14ac:dyDescent="0.3">
      <c r="A31" s="215">
        <v>216028</v>
      </c>
      <c r="B31" s="170" t="s">
        <v>3804</v>
      </c>
      <c r="C31" s="173">
        <v>777081720621</v>
      </c>
      <c r="D31" s="33" t="s">
        <v>202</v>
      </c>
      <c r="E31" s="145" t="s">
        <v>3367</v>
      </c>
      <c r="F31" s="216" t="s">
        <v>3805</v>
      </c>
    </row>
    <row r="32" spans="1:6" s="39" customFormat="1" x14ac:dyDescent="0.3">
      <c r="A32" s="215">
        <v>582841</v>
      </c>
      <c r="B32" s="170" t="s">
        <v>3803</v>
      </c>
      <c r="C32" s="173">
        <v>48162006065</v>
      </c>
      <c r="D32" s="33" t="s">
        <v>202</v>
      </c>
      <c r="E32" s="145" t="s">
        <v>3367</v>
      </c>
      <c r="F32" s="204">
        <v>44544</v>
      </c>
    </row>
    <row r="33" spans="1:6" s="39" customFormat="1" x14ac:dyDescent="0.3">
      <c r="A33" s="215">
        <v>18429</v>
      </c>
      <c r="B33" s="170" t="s">
        <v>3802</v>
      </c>
      <c r="C33" s="173">
        <v>777081428466</v>
      </c>
      <c r="D33" s="33" t="s">
        <v>455</v>
      </c>
      <c r="E33" s="145" t="s">
        <v>3367</v>
      </c>
      <c r="F33" s="204">
        <v>44530</v>
      </c>
    </row>
    <row r="34" spans="1:6" s="39" customFormat="1" ht="27.95" x14ac:dyDescent="0.3">
      <c r="A34" s="215">
        <v>441162</v>
      </c>
      <c r="B34" s="170" t="s">
        <v>3800</v>
      </c>
      <c r="C34" s="173">
        <v>874537018131</v>
      </c>
      <c r="D34" s="33" t="s">
        <v>202</v>
      </c>
      <c r="E34" s="184" t="s">
        <v>3801</v>
      </c>
      <c r="F34" s="204">
        <v>44530</v>
      </c>
    </row>
    <row r="35" spans="1:6" s="39" customFormat="1" x14ac:dyDescent="0.3">
      <c r="A35" s="215" t="str">
        <f>"0019682"</f>
        <v>0019682</v>
      </c>
      <c r="B35" s="170" t="s">
        <v>3799</v>
      </c>
      <c r="C35" s="173" t="str">
        <f>"628669092848"</f>
        <v>628669092848</v>
      </c>
      <c r="D35" s="33" t="s">
        <v>25</v>
      </c>
      <c r="E35" s="145" t="s">
        <v>3367</v>
      </c>
      <c r="F35" s="204">
        <v>44544</v>
      </c>
    </row>
    <row r="36" spans="1:6" s="39" customFormat="1" x14ac:dyDescent="0.3">
      <c r="A36" s="215" t="str">
        <f>"0039677"</f>
        <v>0039677</v>
      </c>
      <c r="B36" s="170" t="s">
        <v>3798</v>
      </c>
      <c r="C36" s="173" t="str">
        <f>"056910201167"</f>
        <v>056910201167</v>
      </c>
      <c r="D36" s="33" t="s">
        <v>25</v>
      </c>
      <c r="E36" s="145" t="s">
        <v>3367</v>
      </c>
      <c r="F36" s="204">
        <v>44537</v>
      </c>
    </row>
    <row r="37" spans="1:6" s="39" customFormat="1" x14ac:dyDescent="0.3">
      <c r="A37" s="215" t="str">
        <f>"0017925"</f>
        <v>0017925</v>
      </c>
      <c r="B37" s="170" t="s">
        <v>3797</v>
      </c>
      <c r="C37" s="173" t="str">
        <f>"675325010449"</f>
        <v>675325010449</v>
      </c>
      <c r="D37" s="33" t="s">
        <v>98</v>
      </c>
      <c r="E37" s="145" t="s">
        <v>3367</v>
      </c>
      <c r="F37" s="204">
        <v>44537</v>
      </c>
    </row>
    <row r="38" spans="1:6" s="39" customFormat="1" x14ac:dyDescent="0.3">
      <c r="A38" s="215" t="str">
        <f>"0020044"</f>
        <v>0020044</v>
      </c>
      <c r="B38" s="170" t="s">
        <v>3796</v>
      </c>
      <c r="C38" s="173" t="str">
        <f>"621433077041"</f>
        <v>621433077041</v>
      </c>
      <c r="D38" s="33" t="s">
        <v>25</v>
      </c>
      <c r="E38" s="145" t="s">
        <v>3367</v>
      </c>
      <c r="F38" s="204">
        <v>44537</v>
      </c>
    </row>
    <row r="39" spans="1:6" s="39" customFormat="1" x14ac:dyDescent="0.3">
      <c r="A39" s="215" t="str">
        <f>"0014446"</f>
        <v>0014446</v>
      </c>
      <c r="B39" s="170" t="s">
        <v>3018</v>
      </c>
      <c r="C39" s="173" t="str">
        <f>"4600682407478"</f>
        <v>4600682407478</v>
      </c>
      <c r="D39" s="33" t="s">
        <v>3694</v>
      </c>
      <c r="E39" s="145" t="s">
        <v>3795</v>
      </c>
      <c r="F39" s="204">
        <v>44519</v>
      </c>
    </row>
    <row r="40" spans="1:6" s="39" customFormat="1" x14ac:dyDescent="0.3">
      <c r="A40" s="215">
        <v>582841</v>
      </c>
      <c r="B40" s="170" t="s">
        <v>3794</v>
      </c>
      <c r="C40" s="173">
        <v>48162006065</v>
      </c>
      <c r="D40" s="33" t="s">
        <v>202</v>
      </c>
      <c r="E40" s="145" t="s">
        <v>3367</v>
      </c>
      <c r="F40" s="204">
        <v>44530</v>
      </c>
    </row>
    <row r="41" spans="1:6" s="39" customFormat="1" x14ac:dyDescent="0.3">
      <c r="A41" s="215" t="str">
        <f>"0019607"</f>
        <v>0019607</v>
      </c>
      <c r="B41" s="170" t="s">
        <v>3792</v>
      </c>
      <c r="C41" s="173" t="str">
        <f>"691245000094"</f>
        <v>691245000094</v>
      </c>
      <c r="D41" s="33" t="s">
        <v>25</v>
      </c>
      <c r="E41" s="145" t="s">
        <v>3367</v>
      </c>
      <c r="F41" s="204">
        <v>44530</v>
      </c>
    </row>
    <row r="42" spans="1:6" s="39" customFormat="1" x14ac:dyDescent="0.3">
      <c r="A42" s="215" t="str">
        <f>"0019608"</f>
        <v>0019608</v>
      </c>
      <c r="B42" s="170" t="s">
        <v>3793</v>
      </c>
      <c r="C42" s="173" t="str">
        <f>"691245000087"</f>
        <v>691245000087</v>
      </c>
      <c r="D42" s="33" t="s">
        <v>25</v>
      </c>
      <c r="E42" s="145" t="s">
        <v>3367</v>
      </c>
      <c r="F42" s="204">
        <v>44530</v>
      </c>
    </row>
    <row r="43" spans="1:6" s="39" customFormat="1" x14ac:dyDescent="0.3">
      <c r="A43" s="215" t="str">
        <f>"0019016"</f>
        <v>0019016</v>
      </c>
      <c r="B43" s="170" t="s">
        <v>3790</v>
      </c>
      <c r="C43" s="173" t="str">
        <f>"628669092732"</f>
        <v>628669092732</v>
      </c>
      <c r="D43" s="33" t="s">
        <v>25</v>
      </c>
      <c r="E43" s="145" t="s">
        <v>3367</v>
      </c>
      <c r="F43" s="204">
        <v>44530</v>
      </c>
    </row>
    <row r="44" spans="1:6" s="39" customFormat="1" x14ac:dyDescent="0.3">
      <c r="A44" s="215" t="str">
        <f>"0020697"</f>
        <v>0020697</v>
      </c>
      <c r="B44" s="170" t="s">
        <v>3791</v>
      </c>
      <c r="C44" s="173" t="str">
        <f>"628669092855"</f>
        <v>628669092855</v>
      </c>
      <c r="D44" s="33" t="s">
        <v>25</v>
      </c>
      <c r="E44" s="145" t="s">
        <v>3367</v>
      </c>
      <c r="F44" s="204">
        <v>44530</v>
      </c>
    </row>
    <row r="45" spans="1:6" s="39" customFormat="1" x14ac:dyDescent="0.3">
      <c r="A45" s="215" t="str">
        <f>"0523258"</f>
        <v>0523258</v>
      </c>
      <c r="B45" s="170" t="s">
        <v>3789</v>
      </c>
      <c r="C45" s="173" t="str">
        <f>"626824410018"</f>
        <v>626824410018</v>
      </c>
      <c r="D45" s="33" t="s">
        <v>124</v>
      </c>
      <c r="E45" s="145" t="s">
        <v>3367</v>
      </c>
      <c r="F45" s="204">
        <v>44530</v>
      </c>
    </row>
    <row r="46" spans="1:6" s="39" customFormat="1" x14ac:dyDescent="0.3">
      <c r="A46" s="215" t="str">
        <f>"0012448"</f>
        <v>0012448</v>
      </c>
      <c r="B46" s="170" t="s">
        <v>2972</v>
      </c>
      <c r="C46" s="173" t="str">
        <f>"056910401314"</f>
        <v>056910401314</v>
      </c>
      <c r="D46" s="33" t="s">
        <v>37</v>
      </c>
      <c r="E46" s="145" t="s">
        <v>3367</v>
      </c>
      <c r="F46" s="204">
        <v>44530</v>
      </c>
    </row>
    <row r="47" spans="1:6" s="39" customFormat="1" x14ac:dyDescent="0.3">
      <c r="A47" s="215" t="str">
        <f>"0015632"</f>
        <v>0015632</v>
      </c>
      <c r="B47" s="170" t="s">
        <v>3788</v>
      </c>
      <c r="C47" s="173" t="str">
        <f>"056327016125"</f>
        <v>056327016125</v>
      </c>
      <c r="D47" s="33" t="s">
        <v>3760</v>
      </c>
      <c r="E47" s="145" t="s">
        <v>3367</v>
      </c>
      <c r="F47" s="204">
        <v>44530</v>
      </c>
    </row>
    <row r="48" spans="1:6" s="39" customFormat="1" x14ac:dyDescent="0.3">
      <c r="A48" s="215" t="str">
        <f>"0923847"</f>
        <v>0923847</v>
      </c>
      <c r="B48" s="170" t="s">
        <v>2783</v>
      </c>
      <c r="C48" s="173" t="str">
        <f>"627167100475"</f>
        <v>627167100475</v>
      </c>
      <c r="D48" s="33" t="s">
        <v>98</v>
      </c>
      <c r="E48" s="145" t="s">
        <v>3367</v>
      </c>
      <c r="F48" s="204">
        <v>44530</v>
      </c>
    </row>
    <row r="49" spans="1:6" s="39" customFormat="1" x14ac:dyDescent="0.3">
      <c r="A49" s="215" t="str">
        <f>"0011776"</f>
        <v>0011776</v>
      </c>
      <c r="B49" s="170" t="s">
        <v>2438</v>
      </c>
      <c r="C49" s="173" t="str">
        <f>"842817100494"</f>
        <v>842817100494</v>
      </c>
      <c r="D49" s="33" t="s">
        <v>25</v>
      </c>
      <c r="E49" s="145" t="s">
        <v>3367</v>
      </c>
      <c r="F49" s="204">
        <v>44523</v>
      </c>
    </row>
    <row r="50" spans="1:6" s="39" customFormat="1" x14ac:dyDescent="0.3">
      <c r="A50" s="215">
        <v>19296</v>
      </c>
      <c r="B50" s="213" t="s">
        <v>3786</v>
      </c>
      <c r="C50" s="173">
        <v>777081228745</v>
      </c>
      <c r="D50" s="33" t="s">
        <v>202</v>
      </c>
      <c r="E50" s="145" t="s">
        <v>3367</v>
      </c>
      <c r="F50" s="204">
        <v>44509</v>
      </c>
    </row>
    <row r="51" spans="1:6" s="39" customFormat="1" x14ac:dyDescent="0.3">
      <c r="A51" s="215">
        <v>430991</v>
      </c>
      <c r="B51" s="213" t="s">
        <v>3787</v>
      </c>
      <c r="C51" s="173">
        <v>776409309913</v>
      </c>
      <c r="D51" s="33" t="s">
        <v>202</v>
      </c>
      <c r="E51" s="145" t="s">
        <v>3367</v>
      </c>
      <c r="F51" s="204">
        <v>44509</v>
      </c>
    </row>
    <row r="52" spans="1:6" s="39" customFormat="1" x14ac:dyDescent="0.3">
      <c r="A52" s="215">
        <v>237313</v>
      </c>
      <c r="B52" s="170" t="s">
        <v>3783</v>
      </c>
      <c r="C52" s="173">
        <v>6002291000190</v>
      </c>
      <c r="D52" s="33" t="s">
        <v>202</v>
      </c>
      <c r="E52" s="145" t="s">
        <v>3367</v>
      </c>
      <c r="F52" s="204">
        <v>44523</v>
      </c>
    </row>
    <row r="53" spans="1:6" s="39" customFormat="1" x14ac:dyDescent="0.3">
      <c r="A53" s="215">
        <v>10418</v>
      </c>
      <c r="B53" s="170" t="s">
        <v>3784</v>
      </c>
      <c r="C53" s="173">
        <v>6002323019206</v>
      </c>
      <c r="D53" s="33" t="s">
        <v>202</v>
      </c>
      <c r="E53" s="145" t="s">
        <v>3367</v>
      </c>
      <c r="F53" s="204">
        <v>44509</v>
      </c>
    </row>
    <row r="54" spans="1:6" s="39" customFormat="1" x14ac:dyDescent="0.3">
      <c r="A54" s="215">
        <v>553818</v>
      </c>
      <c r="B54" s="170" t="s">
        <v>3785</v>
      </c>
      <c r="C54" s="173">
        <v>7791728233117</v>
      </c>
      <c r="D54" s="33" t="s">
        <v>202</v>
      </c>
      <c r="E54" s="145" t="s">
        <v>3367</v>
      </c>
      <c r="F54" s="204">
        <v>44509</v>
      </c>
    </row>
    <row r="55" spans="1:6" s="39" customFormat="1" x14ac:dyDescent="0.3">
      <c r="A55" s="210" t="str">
        <f>"0022220"</f>
        <v>0022220</v>
      </c>
      <c r="B55" s="213" t="s">
        <v>3781</v>
      </c>
      <c r="C55" s="173" t="str">
        <f>"628055774075"</f>
        <v>628055774075</v>
      </c>
      <c r="D55" s="211" t="s">
        <v>25</v>
      </c>
      <c r="E55" s="145" t="s">
        <v>3367</v>
      </c>
      <c r="F55" s="204">
        <v>44505</v>
      </c>
    </row>
    <row r="56" spans="1:6" s="39" customFormat="1" x14ac:dyDescent="0.3">
      <c r="A56" s="210" t="str">
        <f>"0639831"</f>
        <v>0639831</v>
      </c>
      <c r="B56" s="213" t="s">
        <v>3782</v>
      </c>
      <c r="C56" s="173" t="str">
        <f>"628055774006"</f>
        <v>628055774006</v>
      </c>
      <c r="D56" s="211" t="s">
        <v>25</v>
      </c>
      <c r="E56" s="145" t="s">
        <v>3367</v>
      </c>
      <c r="F56" s="204">
        <v>44505</v>
      </c>
    </row>
    <row r="57" spans="1:6" s="39" customFormat="1" x14ac:dyDescent="0.3">
      <c r="A57" s="210" t="str">
        <f>"0013604"</f>
        <v>0013604</v>
      </c>
      <c r="B57" s="213" t="s">
        <v>3779</v>
      </c>
      <c r="C57" s="173" t="str">
        <f>"691245000049"</f>
        <v>691245000049</v>
      </c>
      <c r="D57" s="211" t="s">
        <v>25</v>
      </c>
      <c r="E57" s="145" t="s">
        <v>3367</v>
      </c>
      <c r="F57" s="204">
        <v>44505</v>
      </c>
    </row>
    <row r="58" spans="1:6" s="39" customFormat="1" x14ac:dyDescent="0.3">
      <c r="A58" s="210" t="str">
        <f>"0017263"</f>
        <v>0017263</v>
      </c>
      <c r="B58" s="213" t="s">
        <v>3780</v>
      </c>
      <c r="C58" s="173" t="str">
        <f>"691245000063"</f>
        <v>691245000063</v>
      </c>
      <c r="D58" s="211" t="s">
        <v>25</v>
      </c>
      <c r="E58" s="145" t="s">
        <v>3367</v>
      </c>
      <c r="F58" s="204">
        <v>44505</v>
      </c>
    </row>
    <row r="59" spans="1:6" s="35" customFormat="1" ht="29.7" customHeight="1" x14ac:dyDescent="0.3">
      <c r="A59" s="33">
        <v>10527</v>
      </c>
      <c r="B59" s="119" t="s">
        <v>3465</v>
      </c>
      <c r="C59" s="173">
        <v>628250062434</v>
      </c>
      <c r="D59" s="33" t="s">
        <v>202</v>
      </c>
      <c r="E59" s="184" t="s">
        <v>3778</v>
      </c>
      <c r="F59" s="180">
        <v>44516</v>
      </c>
    </row>
    <row r="60" spans="1:6" s="39" customFormat="1" x14ac:dyDescent="0.3">
      <c r="A60" s="210" t="str">
        <f>"0491639"</f>
        <v>0491639</v>
      </c>
      <c r="B60" s="213" t="s">
        <v>2693</v>
      </c>
      <c r="C60" s="173" t="str">
        <f>"5035766060352"</f>
        <v>5035766060352</v>
      </c>
      <c r="D60" s="211" t="s">
        <v>60</v>
      </c>
      <c r="E60" s="145" t="s">
        <v>3367</v>
      </c>
      <c r="F60" s="204">
        <v>44516</v>
      </c>
    </row>
    <row r="61" spans="1:6" s="39" customFormat="1" x14ac:dyDescent="0.3">
      <c r="A61" s="210" t="str">
        <f>"0010758"</f>
        <v>0010758</v>
      </c>
      <c r="B61" s="213" t="s">
        <v>3775</v>
      </c>
      <c r="C61" s="173" t="str">
        <f>"628055585176"</f>
        <v>628055585176</v>
      </c>
      <c r="D61" s="211" t="s">
        <v>25</v>
      </c>
      <c r="E61" s="145" t="s">
        <v>3367</v>
      </c>
      <c r="F61" s="204">
        <v>44516</v>
      </c>
    </row>
    <row r="62" spans="1:6" s="39" customFormat="1" x14ac:dyDescent="0.3">
      <c r="A62" s="210">
        <v>53397</v>
      </c>
      <c r="B62" s="213" t="s">
        <v>3774</v>
      </c>
      <c r="C62" s="173">
        <v>874537001010</v>
      </c>
      <c r="D62" s="211" t="s">
        <v>759</v>
      </c>
      <c r="E62" s="145" t="s">
        <v>3367</v>
      </c>
      <c r="F62" s="204">
        <v>44502</v>
      </c>
    </row>
    <row r="63" spans="1:6" s="39" customFormat="1" x14ac:dyDescent="0.3">
      <c r="A63" s="210" t="str">
        <f>"0017226"</f>
        <v>0017226</v>
      </c>
      <c r="B63" s="213" t="s">
        <v>3773</v>
      </c>
      <c r="C63" s="173" t="str">
        <f>"870766000756"</f>
        <v>870766000756</v>
      </c>
      <c r="D63" s="211" t="s">
        <v>25</v>
      </c>
      <c r="E63" s="145" t="s">
        <v>3367</v>
      </c>
      <c r="F63" s="204">
        <v>44516</v>
      </c>
    </row>
    <row r="64" spans="1:6" s="39" customFormat="1" x14ac:dyDescent="0.3">
      <c r="A64" s="210" t="str">
        <f>"0492645"</f>
        <v>0492645</v>
      </c>
      <c r="B64" s="213" t="s">
        <v>1660</v>
      </c>
      <c r="C64" s="173" t="str">
        <f>"870766000336"</f>
        <v>870766000336</v>
      </c>
      <c r="D64" s="211" t="s">
        <v>25</v>
      </c>
      <c r="E64" s="145" t="s">
        <v>3367</v>
      </c>
      <c r="F64" s="204">
        <v>44516</v>
      </c>
    </row>
    <row r="65" spans="1:6" s="39" customFormat="1" x14ac:dyDescent="0.3">
      <c r="A65" s="210" t="str">
        <f>"0019981"</f>
        <v>0019981</v>
      </c>
      <c r="B65" s="213" t="s">
        <v>3772</v>
      </c>
      <c r="C65" s="173" t="str">
        <f>"048162017702"</f>
        <v>048162017702</v>
      </c>
      <c r="D65" s="211" t="s">
        <v>25</v>
      </c>
      <c r="E65" s="145" t="s">
        <v>3367</v>
      </c>
      <c r="F65" s="204">
        <v>44509</v>
      </c>
    </row>
    <row r="66" spans="1:6" s="39" customFormat="1" ht="27.95" x14ac:dyDescent="0.3">
      <c r="A66" s="210" t="str">
        <f>"0636274"</f>
        <v>0636274</v>
      </c>
      <c r="B66" s="213" t="s">
        <v>3770</v>
      </c>
      <c r="C66" s="173" t="str">
        <f>"855315003716"</f>
        <v>855315003716</v>
      </c>
      <c r="D66" s="211" t="s">
        <v>25</v>
      </c>
      <c r="E66" s="132" t="s">
        <v>3771</v>
      </c>
      <c r="F66" s="204">
        <v>44509</v>
      </c>
    </row>
    <row r="67" spans="1:6" s="39" customFormat="1" ht="27.95" x14ac:dyDescent="0.3">
      <c r="A67" s="210">
        <v>11583</v>
      </c>
      <c r="B67" s="212" t="s">
        <v>3768</v>
      </c>
      <c r="C67" s="173">
        <v>627843963165</v>
      </c>
      <c r="D67" s="211" t="s">
        <v>25</v>
      </c>
      <c r="E67" s="172" t="s">
        <v>3776</v>
      </c>
      <c r="F67" s="204">
        <v>44509</v>
      </c>
    </row>
    <row r="68" spans="1:6" s="39" customFormat="1" ht="27.95" x14ac:dyDescent="0.3">
      <c r="A68" s="210">
        <v>617290</v>
      </c>
      <c r="B68" s="212" t="s">
        <v>3769</v>
      </c>
      <c r="C68" s="173">
        <v>627843963158</v>
      </c>
      <c r="D68" s="211" t="s">
        <v>25</v>
      </c>
      <c r="E68" s="172" t="s">
        <v>3777</v>
      </c>
      <c r="F68" s="204">
        <v>44509</v>
      </c>
    </row>
    <row r="69" spans="1:6" s="39" customFormat="1" x14ac:dyDescent="0.3">
      <c r="A69" s="210" t="str">
        <f>"0019969"</f>
        <v>0019969</v>
      </c>
      <c r="B69" s="213" t="s">
        <v>3765</v>
      </c>
      <c r="C69" s="173" t="str">
        <f>"628055980261"</f>
        <v>628055980261</v>
      </c>
      <c r="D69" s="211" t="s">
        <v>25</v>
      </c>
      <c r="E69" s="145" t="s">
        <v>3767</v>
      </c>
      <c r="F69" s="204">
        <v>44495</v>
      </c>
    </row>
    <row r="70" spans="1:6" s="39" customFormat="1" x14ac:dyDescent="0.3">
      <c r="A70" s="210" t="str">
        <f>"0019970"</f>
        <v>0019970</v>
      </c>
      <c r="B70" s="213" t="s">
        <v>3766</v>
      </c>
      <c r="C70" s="173" t="str">
        <f>"628055980391"</f>
        <v>628055980391</v>
      </c>
      <c r="D70" s="211" t="s">
        <v>25</v>
      </c>
      <c r="E70" s="145" t="s">
        <v>3767</v>
      </c>
      <c r="F70" s="204">
        <v>44495</v>
      </c>
    </row>
    <row r="71" spans="1:6" s="39" customFormat="1" x14ac:dyDescent="0.3">
      <c r="A71" s="210">
        <v>13522</v>
      </c>
      <c r="B71" s="213" t="s">
        <v>3764</v>
      </c>
      <c r="C71" s="173">
        <v>8008863060966</v>
      </c>
      <c r="D71" s="211" t="s">
        <v>202</v>
      </c>
      <c r="E71" s="145" t="s">
        <v>3367</v>
      </c>
      <c r="F71" s="204">
        <v>44495</v>
      </c>
    </row>
    <row r="72" spans="1:6" s="39" customFormat="1" ht="27.95" x14ac:dyDescent="0.3">
      <c r="A72" s="210" t="str">
        <f>"0394536"</f>
        <v>0394536</v>
      </c>
      <c r="B72" s="213" t="s">
        <v>3761</v>
      </c>
      <c r="C72" s="173" t="str">
        <f>"41024355"</f>
        <v>41024355</v>
      </c>
      <c r="D72" s="211" t="s">
        <v>48</v>
      </c>
      <c r="E72" s="132" t="s">
        <v>3762</v>
      </c>
      <c r="F72" s="204">
        <v>44491</v>
      </c>
    </row>
    <row r="73" spans="1:6" s="39" customFormat="1" x14ac:dyDescent="0.3">
      <c r="A73" s="210">
        <v>53876</v>
      </c>
      <c r="B73" s="213" t="s">
        <v>3757</v>
      </c>
      <c r="C73" s="173">
        <v>8001935221401</v>
      </c>
      <c r="D73" s="211" t="s">
        <v>202</v>
      </c>
      <c r="E73" s="145" t="s">
        <v>3367</v>
      </c>
      <c r="F73" s="204">
        <v>44509</v>
      </c>
    </row>
    <row r="74" spans="1:6" s="39" customFormat="1" ht="27.95" x14ac:dyDescent="0.3">
      <c r="A74" s="210" t="str">
        <f>"0011443"</f>
        <v>0011443</v>
      </c>
      <c r="B74" s="213" t="s">
        <v>2704</v>
      </c>
      <c r="C74" s="173" t="str">
        <f>"628451784227"</f>
        <v>628451784227</v>
      </c>
      <c r="D74" s="211" t="s">
        <v>124</v>
      </c>
      <c r="E74" s="132" t="s">
        <v>3763</v>
      </c>
      <c r="F74" s="204">
        <v>44492</v>
      </c>
    </row>
    <row r="75" spans="1:6" s="39" customFormat="1" x14ac:dyDescent="0.3">
      <c r="A75" s="210" t="str">
        <f>"0015680"</f>
        <v>0015680</v>
      </c>
      <c r="B75" s="213" t="s">
        <v>3759</v>
      </c>
      <c r="C75" s="173" t="str">
        <f>"056327016088"</f>
        <v>056327016088</v>
      </c>
      <c r="D75" s="211" t="s">
        <v>3760</v>
      </c>
      <c r="E75" s="145" t="s">
        <v>3367</v>
      </c>
      <c r="F75" s="204">
        <v>44509</v>
      </c>
    </row>
    <row r="76" spans="1:6" s="39" customFormat="1" x14ac:dyDescent="0.3">
      <c r="A76" s="210">
        <v>572156</v>
      </c>
      <c r="B76" s="213" t="s">
        <v>3758</v>
      </c>
      <c r="C76" s="173">
        <v>874537043140</v>
      </c>
      <c r="D76" s="211" t="s">
        <v>202</v>
      </c>
      <c r="E76" s="145" t="s">
        <v>3367</v>
      </c>
      <c r="F76" s="204">
        <v>44530</v>
      </c>
    </row>
    <row r="77" spans="1:6" s="39" customFormat="1" ht="27.95" x14ac:dyDescent="0.3">
      <c r="A77" s="210">
        <v>53876</v>
      </c>
      <c r="B77" s="213" t="s">
        <v>3757</v>
      </c>
      <c r="C77" s="173">
        <v>8001935221401</v>
      </c>
      <c r="D77" s="211" t="s">
        <v>202</v>
      </c>
      <c r="E77" s="132" t="s">
        <v>3756</v>
      </c>
      <c r="F77" s="204">
        <v>44488</v>
      </c>
    </row>
    <row r="78" spans="1:6" s="39" customFormat="1" x14ac:dyDescent="0.3">
      <c r="A78" s="210" t="str">
        <f>"0019019"</f>
        <v>0019019</v>
      </c>
      <c r="B78" s="212" t="s">
        <v>3755</v>
      </c>
      <c r="C78" s="173" t="str">
        <f>"628669092725"</f>
        <v>628669092725</v>
      </c>
      <c r="D78" s="211" t="s">
        <v>25</v>
      </c>
      <c r="E78" s="145" t="s">
        <v>3367</v>
      </c>
      <c r="F78" s="204">
        <v>44502</v>
      </c>
    </row>
    <row r="79" spans="1:6" s="39" customFormat="1" x14ac:dyDescent="0.3">
      <c r="A79" s="210" t="str">
        <f>"0019354"</f>
        <v>0019354</v>
      </c>
      <c r="B79" s="212" t="s">
        <v>3729</v>
      </c>
      <c r="C79" s="173" t="str">
        <f>"186360050876"</f>
        <v>186360050876</v>
      </c>
      <c r="D79" s="211" t="s">
        <v>25</v>
      </c>
      <c r="E79" s="145" t="s">
        <v>3367</v>
      </c>
      <c r="F79" s="204">
        <v>44502</v>
      </c>
    </row>
    <row r="80" spans="1:6" s="39" customFormat="1" x14ac:dyDescent="0.3">
      <c r="A80" s="210">
        <v>620880</v>
      </c>
      <c r="B80" s="212" t="s">
        <v>3753</v>
      </c>
      <c r="C80" s="173">
        <v>8002062001607</v>
      </c>
      <c r="D80" s="211" t="s">
        <v>202</v>
      </c>
      <c r="E80" s="145" t="s">
        <v>3754</v>
      </c>
      <c r="F80" s="204">
        <v>44502</v>
      </c>
    </row>
    <row r="81" spans="1:6" s="39" customFormat="1" x14ac:dyDescent="0.3">
      <c r="A81" s="210" t="str">
        <f>"0020822"</f>
        <v>0020822</v>
      </c>
      <c r="B81" s="212" t="s">
        <v>3752</v>
      </c>
      <c r="C81" s="173" t="str">
        <f>"644216910878"</f>
        <v>644216910878</v>
      </c>
      <c r="D81" s="211" t="s">
        <v>48</v>
      </c>
      <c r="E81" s="145" t="s">
        <v>3367</v>
      </c>
      <c r="F81" s="204">
        <v>44502</v>
      </c>
    </row>
    <row r="82" spans="1:6" s="39" customFormat="1" x14ac:dyDescent="0.3">
      <c r="A82" s="210" t="str">
        <f>"0019606"</f>
        <v>0019606</v>
      </c>
      <c r="B82" s="212" t="s">
        <v>3751</v>
      </c>
      <c r="C82" s="173" t="str">
        <f>"627005030469"</f>
        <v>627005030469</v>
      </c>
      <c r="D82" s="211" t="s">
        <v>98</v>
      </c>
      <c r="E82" s="145" t="s">
        <v>3367</v>
      </c>
      <c r="F82" s="204">
        <v>44502</v>
      </c>
    </row>
    <row r="83" spans="1:6" s="39" customFormat="1" x14ac:dyDescent="0.3">
      <c r="A83" s="210">
        <v>22221</v>
      </c>
      <c r="B83" s="212" t="s">
        <v>3747</v>
      </c>
      <c r="C83" s="173">
        <v>672975229771</v>
      </c>
      <c r="D83" s="211" t="s">
        <v>25</v>
      </c>
      <c r="E83" s="145" t="s">
        <v>3749</v>
      </c>
      <c r="F83" s="204">
        <v>44485</v>
      </c>
    </row>
    <row r="84" spans="1:6" s="39" customFormat="1" x14ac:dyDescent="0.3">
      <c r="A84" s="210">
        <v>22620</v>
      </c>
      <c r="B84" s="212" t="s">
        <v>3748</v>
      </c>
      <c r="C84" s="173">
        <v>672975229818</v>
      </c>
      <c r="D84" s="211" t="s">
        <v>98</v>
      </c>
      <c r="E84" s="145" t="s">
        <v>3749</v>
      </c>
      <c r="F84" s="204">
        <v>44485</v>
      </c>
    </row>
    <row r="85" spans="1:6" s="39" customFormat="1" x14ac:dyDescent="0.3">
      <c r="A85" s="210" t="str">
        <f>"0569996"</f>
        <v>0569996</v>
      </c>
      <c r="B85" s="212" t="s">
        <v>3750</v>
      </c>
      <c r="C85" s="173" t="str">
        <f>"5060190563568"</f>
        <v>5060190563568</v>
      </c>
      <c r="D85" s="211" t="s">
        <v>48</v>
      </c>
      <c r="E85" s="145" t="s">
        <v>3367</v>
      </c>
      <c r="F85" s="204">
        <v>44502</v>
      </c>
    </row>
    <row r="86" spans="1:6" s="39" customFormat="1" x14ac:dyDescent="0.3">
      <c r="A86" s="210" t="str">
        <f>"0355479"</f>
        <v>0355479</v>
      </c>
      <c r="B86" s="212" t="s">
        <v>3745</v>
      </c>
      <c r="C86" s="173" t="str">
        <f>"681248800111"</f>
        <v>681248800111</v>
      </c>
      <c r="D86" s="211" t="s">
        <v>202</v>
      </c>
      <c r="E86" s="145" t="s">
        <v>3367</v>
      </c>
      <c r="F86" s="204">
        <v>44502</v>
      </c>
    </row>
    <row r="87" spans="1:6" s="39" customFormat="1" x14ac:dyDescent="0.3">
      <c r="A87" s="210" t="str">
        <f>"0355529"</f>
        <v>0355529</v>
      </c>
      <c r="B87" s="212" t="s">
        <v>3746</v>
      </c>
      <c r="C87" s="173" t="str">
        <f>"681248800128"</f>
        <v>681248800128</v>
      </c>
      <c r="D87" s="211" t="s">
        <v>202</v>
      </c>
      <c r="E87" s="145" t="s">
        <v>3367</v>
      </c>
      <c r="F87" s="204">
        <v>44482</v>
      </c>
    </row>
    <row r="88" spans="1:6" s="39" customFormat="1" x14ac:dyDescent="0.3">
      <c r="A88" s="210" t="str">
        <f>"0019614"</f>
        <v>0019614</v>
      </c>
      <c r="B88" s="212" t="s">
        <v>3734</v>
      </c>
      <c r="C88" s="173" t="str">
        <f>"818662000463"</f>
        <v>818662000463</v>
      </c>
      <c r="D88" s="211" t="s">
        <v>25</v>
      </c>
      <c r="E88" s="145" t="s">
        <v>3367</v>
      </c>
      <c r="F88" s="204">
        <v>44495</v>
      </c>
    </row>
    <row r="89" spans="1:6" s="39" customFormat="1" x14ac:dyDescent="0.3">
      <c r="A89" s="210" t="str">
        <f>"0015778"</f>
        <v>0015778</v>
      </c>
      <c r="B89" s="212" t="s">
        <v>3744</v>
      </c>
      <c r="C89" s="173" t="str">
        <f>"0702915000914"</f>
        <v>0702915000914</v>
      </c>
      <c r="D89" s="211" t="s">
        <v>25</v>
      </c>
      <c r="E89" s="145" t="s">
        <v>3367</v>
      </c>
      <c r="F89" s="204">
        <v>44495</v>
      </c>
    </row>
    <row r="90" spans="1:6" s="39" customFormat="1" x14ac:dyDescent="0.3">
      <c r="A90" s="210" t="str">
        <f>"0019584"</f>
        <v>0019584</v>
      </c>
      <c r="B90" s="212" t="s">
        <v>3494</v>
      </c>
      <c r="C90" s="173" t="str">
        <f>"627005213015"</f>
        <v>627005213015</v>
      </c>
      <c r="D90" s="211" t="s">
        <v>37</v>
      </c>
      <c r="E90" s="145" t="s">
        <v>3367</v>
      </c>
      <c r="F90" s="204">
        <v>44482</v>
      </c>
    </row>
    <row r="91" spans="1:6" s="39" customFormat="1" x14ac:dyDescent="0.3">
      <c r="A91" s="210">
        <v>11989</v>
      </c>
      <c r="B91" s="212" t="s">
        <v>3740</v>
      </c>
      <c r="C91" s="173" t="s">
        <v>3742</v>
      </c>
      <c r="D91" s="211" t="s">
        <v>137</v>
      </c>
      <c r="E91" s="145" t="s">
        <v>3367</v>
      </c>
      <c r="F91" s="204">
        <v>44478</v>
      </c>
    </row>
    <row r="92" spans="1:6" s="39" customFormat="1" x14ac:dyDescent="0.3">
      <c r="A92" s="210">
        <v>11988</v>
      </c>
      <c r="B92" s="212" t="s">
        <v>3741</v>
      </c>
      <c r="C92" s="173" t="s">
        <v>3743</v>
      </c>
      <c r="D92" s="211" t="s">
        <v>137</v>
      </c>
      <c r="E92" s="145" t="s">
        <v>3367</v>
      </c>
      <c r="F92" s="204">
        <v>44478</v>
      </c>
    </row>
    <row r="93" spans="1:6" s="39" customFormat="1" x14ac:dyDescent="0.3">
      <c r="A93" s="210" t="str">
        <f>"0483198"</f>
        <v>0483198</v>
      </c>
      <c r="B93" s="212" t="s">
        <v>3739</v>
      </c>
      <c r="C93" s="173" t="str">
        <f>"628055427056"</f>
        <v>628055427056</v>
      </c>
      <c r="D93" s="211" t="s">
        <v>29</v>
      </c>
      <c r="E93" s="145" t="s">
        <v>3367</v>
      </c>
      <c r="F93" s="204">
        <v>44495</v>
      </c>
    </row>
    <row r="94" spans="1:6" s="39" customFormat="1" x14ac:dyDescent="0.3">
      <c r="A94" s="210" t="str">
        <f>"0010630"</f>
        <v>0010630</v>
      </c>
      <c r="B94" s="212" t="s">
        <v>3731</v>
      </c>
      <c r="C94" s="173" t="str">
        <f>"818662000395"</f>
        <v>818662000395</v>
      </c>
      <c r="D94" s="211" t="s">
        <v>25</v>
      </c>
      <c r="E94" s="145" t="s">
        <v>3367</v>
      </c>
      <c r="F94" s="204">
        <v>44495</v>
      </c>
    </row>
    <row r="95" spans="1:6" s="39" customFormat="1" x14ac:dyDescent="0.3">
      <c r="A95" s="210" t="str">
        <f>"0019262"</f>
        <v>0019262</v>
      </c>
      <c r="B95" s="212" t="s">
        <v>3732</v>
      </c>
      <c r="C95" s="173" t="str">
        <f>"818662000456"</f>
        <v>818662000456</v>
      </c>
      <c r="D95" s="211" t="s">
        <v>25</v>
      </c>
      <c r="E95" s="145" t="s">
        <v>3367</v>
      </c>
      <c r="F95" s="204">
        <v>44495</v>
      </c>
    </row>
    <row r="96" spans="1:6" s="39" customFormat="1" x14ac:dyDescent="0.3">
      <c r="A96" s="210" t="str">
        <f>"0019544"</f>
        <v>0019544</v>
      </c>
      <c r="B96" s="212" t="s">
        <v>3733</v>
      </c>
      <c r="C96" s="173" t="str">
        <f>"620707101932"</f>
        <v>620707101932</v>
      </c>
      <c r="D96" s="211" t="s">
        <v>25</v>
      </c>
      <c r="E96" s="145" t="s">
        <v>3367</v>
      </c>
      <c r="F96" s="204">
        <v>44495</v>
      </c>
    </row>
    <row r="97" spans="1:6" s="39" customFormat="1" x14ac:dyDescent="0.3">
      <c r="A97" s="210" t="str">
        <f>"0020864"</f>
        <v>0020864</v>
      </c>
      <c r="B97" s="212" t="s">
        <v>3735</v>
      </c>
      <c r="C97" s="173" t="str">
        <f>"834873000320"</f>
        <v>834873000320</v>
      </c>
      <c r="D97" s="211" t="s">
        <v>25</v>
      </c>
      <c r="E97" s="145" t="s">
        <v>3367</v>
      </c>
      <c r="F97" s="204">
        <v>44495</v>
      </c>
    </row>
    <row r="98" spans="1:6" s="39" customFormat="1" x14ac:dyDescent="0.3">
      <c r="A98" s="210" t="str">
        <f>"0020942"</f>
        <v>0020942</v>
      </c>
      <c r="B98" s="212" t="s">
        <v>3736</v>
      </c>
      <c r="C98" s="173" t="str">
        <f>"834873000337"</f>
        <v>834873000337</v>
      </c>
      <c r="D98" s="211" t="s">
        <v>25</v>
      </c>
      <c r="E98" s="145" t="s">
        <v>3367</v>
      </c>
      <c r="F98" s="204">
        <v>44495</v>
      </c>
    </row>
    <row r="99" spans="1:6" s="39" customFormat="1" x14ac:dyDescent="0.3">
      <c r="A99" s="210" t="str">
        <f>"0020434"</f>
        <v>0020434</v>
      </c>
      <c r="B99" s="212" t="s">
        <v>3737</v>
      </c>
      <c r="C99" s="173" t="str">
        <f>"186360050883"</f>
        <v>186360050883</v>
      </c>
      <c r="D99" s="211" t="s">
        <v>25</v>
      </c>
      <c r="E99" s="145" t="s">
        <v>3367</v>
      </c>
      <c r="F99" s="204">
        <v>44478</v>
      </c>
    </row>
    <row r="100" spans="1:6" s="39" customFormat="1" x14ac:dyDescent="0.3">
      <c r="A100" s="210" t="str">
        <f>"0528513"</f>
        <v>0528513</v>
      </c>
      <c r="B100" s="212" t="s">
        <v>3738</v>
      </c>
      <c r="C100" s="173" t="str">
        <f>"627843535515"</f>
        <v>627843535515</v>
      </c>
      <c r="D100" s="211" t="s">
        <v>25</v>
      </c>
      <c r="E100" s="145" t="s">
        <v>3367</v>
      </c>
      <c r="F100" s="204">
        <v>44478</v>
      </c>
    </row>
    <row r="101" spans="1:6" s="39" customFormat="1" x14ac:dyDescent="0.3">
      <c r="A101" s="210" t="str">
        <f>"0019354"</f>
        <v>0019354</v>
      </c>
      <c r="B101" s="212" t="s">
        <v>3729</v>
      </c>
      <c r="C101" s="173" t="str">
        <f>"186360050876"</f>
        <v>186360050876</v>
      </c>
      <c r="D101" s="211" t="s">
        <v>25</v>
      </c>
      <c r="E101" s="145" t="s">
        <v>3367</v>
      </c>
      <c r="F101" s="204">
        <v>44495</v>
      </c>
    </row>
    <row r="102" spans="1:6" s="39" customFormat="1" x14ac:dyDescent="0.3">
      <c r="A102" s="210" t="str">
        <f>"0020125"</f>
        <v>0020125</v>
      </c>
      <c r="B102" s="212" t="s">
        <v>3730</v>
      </c>
      <c r="C102" s="173" t="str">
        <f>"186360010351"</f>
        <v>186360010351</v>
      </c>
      <c r="D102" s="211" t="s">
        <v>98</v>
      </c>
      <c r="E102" s="145" t="s">
        <v>3367</v>
      </c>
      <c r="F102" s="204">
        <v>44495</v>
      </c>
    </row>
    <row r="103" spans="1:6" s="39" customFormat="1" ht="27.95" x14ac:dyDescent="0.3">
      <c r="A103" s="210" t="str">
        <f>"0568659"</f>
        <v>0568659</v>
      </c>
      <c r="B103" s="213" t="s">
        <v>3727</v>
      </c>
      <c r="C103" s="173" t="str">
        <f>"9003402754077"</f>
        <v>9003402754077</v>
      </c>
      <c r="D103" s="211" t="s">
        <v>48</v>
      </c>
      <c r="E103" s="132" t="s">
        <v>3728</v>
      </c>
      <c r="F103" s="204">
        <v>44477</v>
      </c>
    </row>
    <row r="104" spans="1:6" s="39" customFormat="1" x14ac:dyDescent="0.3">
      <c r="A104" s="210" t="str">
        <f>"0017784"</f>
        <v>0017784</v>
      </c>
      <c r="B104" s="212" t="s">
        <v>3726</v>
      </c>
      <c r="C104" s="173" t="str">
        <f>"051497204921"</f>
        <v>051497204921</v>
      </c>
      <c r="D104" s="211" t="s">
        <v>555</v>
      </c>
      <c r="E104" s="145" t="s">
        <v>3367</v>
      </c>
      <c r="F104" s="204">
        <v>44495</v>
      </c>
    </row>
    <row r="105" spans="1:6" s="39" customFormat="1" x14ac:dyDescent="0.3">
      <c r="A105" s="210">
        <v>15514</v>
      </c>
      <c r="B105" s="212" t="s">
        <v>3723</v>
      </c>
      <c r="C105" s="173" t="s">
        <v>3724</v>
      </c>
      <c r="D105" s="211" t="s">
        <v>202</v>
      </c>
      <c r="E105" s="145" t="s">
        <v>3367</v>
      </c>
      <c r="F105" s="204">
        <v>44467</v>
      </c>
    </row>
    <row r="106" spans="1:6" s="39" customFormat="1" x14ac:dyDescent="0.3">
      <c r="A106" s="210">
        <v>640003</v>
      </c>
      <c r="B106" s="212" t="s">
        <v>3722</v>
      </c>
      <c r="C106" s="173">
        <v>894509000155</v>
      </c>
      <c r="D106" s="211" t="s">
        <v>202</v>
      </c>
      <c r="E106" s="145" t="s">
        <v>3367</v>
      </c>
      <c r="F106" s="204">
        <v>44467</v>
      </c>
    </row>
    <row r="107" spans="1:6" s="39" customFormat="1" x14ac:dyDescent="0.3">
      <c r="A107" s="210">
        <v>375022</v>
      </c>
      <c r="B107" s="212" t="s">
        <v>3720</v>
      </c>
      <c r="C107" s="173">
        <v>9005511031971</v>
      </c>
      <c r="D107" s="211" t="s">
        <v>202</v>
      </c>
      <c r="E107" s="145" t="s">
        <v>3367</v>
      </c>
      <c r="F107" s="204">
        <v>44467</v>
      </c>
    </row>
    <row r="108" spans="1:6" s="39" customFormat="1" x14ac:dyDescent="0.3">
      <c r="A108" s="210">
        <v>269852</v>
      </c>
      <c r="B108" s="212" t="s">
        <v>3721</v>
      </c>
      <c r="C108" s="173">
        <v>3442680060054</v>
      </c>
      <c r="D108" s="211" t="s">
        <v>202</v>
      </c>
      <c r="E108" s="145" t="s">
        <v>3367</v>
      </c>
      <c r="F108" s="204">
        <v>44467</v>
      </c>
    </row>
    <row r="109" spans="1:6" s="39" customFormat="1" x14ac:dyDescent="0.3">
      <c r="A109" s="210" t="str">
        <f>"0617712"</f>
        <v>0617712</v>
      </c>
      <c r="B109" s="212" t="s">
        <v>3719</v>
      </c>
      <c r="C109" s="173" t="str">
        <f>"874702000114"</f>
        <v>874702000114</v>
      </c>
      <c r="D109" s="211" t="s">
        <v>25</v>
      </c>
      <c r="E109" s="145" t="s">
        <v>3367</v>
      </c>
      <c r="F109" s="204">
        <v>44482</v>
      </c>
    </row>
    <row r="110" spans="1:6" s="39" customFormat="1" x14ac:dyDescent="0.3">
      <c r="A110" s="210" t="str">
        <f>"0542027"</f>
        <v>0542027</v>
      </c>
      <c r="B110" s="212" t="s">
        <v>3717</v>
      </c>
      <c r="C110" s="173" t="str">
        <f>"627843736400"</f>
        <v>627843736400</v>
      </c>
      <c r="D110" s="211" t="s">
        <v>25</v>
      </c>
      <c r="E110" s="145" t="s">
        <v>3718</v>
      </c>
      <c r="F110" s="204">
        <v>44482</v>
      </c>
    </row>
    <row r="111" spans="1:6" s="39" customFormat="1" x14ac:dyDescent="0.3">
      <c r="A111" s="210" t="str">
        <f>"0367151"</f>
        <v>0367151</v>
      </c>
      <c r="B111" s="212" t="s">
        <v>3716</v>
      </c>
      <c r="C111" s="173" t="str">
        <f>"855315000715"</f>
        <v>855315000715</v>
      </c>
      <c r="D111" s="211" t="s">
        <v>60</v>
      </c>
      <c r="E111" s="145" t="s">
        <v>3367</v>
      </c>
      <c r="F111" s="204">
        <v>44482</v>
      </c>
    </row>
    <row r="112" spans="1:6" s="39" customFormat="1" x14ac:dyDescent="0.3">
      <c r="A112" s="210">
        <v>17651</v>
      </c>
      <c r="B112" s="212" t="s">
        <v>3713</v>
      </c>
      <c r="C112" s="173">
        <v>9312088000386</v>
      </c>
      <c r="D112" s="211" t="s">
        <v>140</v>
      </c>
      <c r="E112" s="145" t="s">
        <v>3367</v>
      </c>
      <c r="F112" s="204">
        <v>44460</v>
      </c>
    </row>
    <row r="113" spans="1:6" s="39" customFormat="1" x14ac:dyDescent="0.3">
      <c r="A113" s="210" t="str">
        <f>"0019655"</f>
        <v>0019655</v>
      </c>
      <c r="B113" s="212" t="s">
        <v>3712</v>
      </c>
      <c r="C113" s="173" t="str">
        <f>"620707101949"</f>
        <v>620707101949</v>
      </c>
      <c r="D113" s="211" t="s">
        <v>25</v>
      </c>
      <c r="E113" s="145" t="s">
        <v>3367</v>
      </c>
      <c r="F113" s="204">
        <v>44474</v>
      </c>
    </row>
    <row r="114" spans="1:6" s="39" customFormat="1" x14ac:dyDescent="0.3">
      <c r="A114" s="210" t="str">
        <f>"0012047"</f>
        <v>0012047</v>
      </c>
      <c r="B114" s="212" t="s">
        <v>3714</v>
      </c>
      <c r="C114" s="173" t="str">
        <f>"5010118317407"</f>
        <v>5010118317407</v>
      </c>
      <c r="D114" s="211" t="s">
        <v>48</v>
      </c>
      <c r="E114" s="145" t="s">
        <v>3367</v>
      </c>
      <c r="F114" s="204">
        <v>44474</v>
      </c>
    </row>
    <row r="115" spans="1:6" s="39" customFormat="1" x14ac:dyDescent="0.3">
      <c r="A115" s="210" t="str">
        <f>"0617506"</f>
        <v>0617506</v>
      </c>
      <c r="B115" s="212" t="s">
        <v>3711</v>
      </c>
      <c r="C115" s="173" t="str">
        <f>"628113005219"</f>
        <v>628113005219</v>
      </c>
      <c r="D115" s="211" t="s">
        <v>48</v>
      </c>
      <c r="E115" s="145" t="s">
        <v>3367</v>
      </c>
      <c r="F115" s="204">
        <v>44474</v>
      </c>
    </row>
    <row r="116" spans="1:6" s="39" customFormat="1" x14ac:dyDescent="0.3">
      <c r="A116" s="210" t="str">
        <f>"0639567"</f>
        <v>0639567</v>
      </c>
      <c r="B116" s="212" t="s">
        <v>3302</v>
      </c>
      <c r="C116" s="173" t="str">
        <f>"628113006308"</f>
        <v>628113006308</v>
      </c>
      <c r="D116" s="211" t="s">
        <v>48</v>
      </c>
      <c r="E116" s="145" t="s">
        <v>3367</v>
      </c>
      <c r="F116" s="204">
        <v>44474</v>
      </c>
    </row>
    <row r="117" spans="1:6" s="39" customFormat="1" ht="27.95" x14ac:dyDescent="0.3">
      <c r="A117" s="210" t="str">
        <f>"0418590"</f>
        <v>0418590</v>
      </c>
      <c r="B117" s="212" t="s">
        <v>3213</v>
      </c>
      <c r="C117" s="173" t="str">
        <f>"7501064196331"</f>
        <v>7501064196331</v>
      </c>
      <c r="D117" s="211" t="s">
        <v>37</v>
      </c>
      <c r="E117" s="214" t="s">
        <v>3715</v>
      </c>
      <c r="F117" s="204">
        <v>44467</v>
      </c>
    </row>
    <row r="118" spans="1:6" s="39" customFormat="1" x14ac:dyDescent="0.3">
      <c r="A118" s="210" t="str">
        <f>"0020137"</f>
        <v>0020137</v>
      </c>
      <c r="B118" s="212" t="s">
        <v>3707</v>
      </c>
      <c r="C118" s="173" t="str">
        <f>"776029705638"</f>
        <v>776029705638</v>
      </c>
      <c r="D118" s="211" t="s">
        <v>25</v>
      </c>
      <c r="E118" s="145" t="s">
        <v>3710</v>
      </c>
      <c r="F118" s="204">
        <v>44482</v>
      </c>
    </row>
    <row r="119" spans="1:6" s="39" customFormat="1" x14ac:dyDescent="0.3">
      <c r="A119" s="210" t="str">
        <f>"0020139"</f>
        <v>0020139</v>
      </c>
      <c r="B119" s="212" t="s">
        <v>3708</v>
      </c>
      <c r="C119" s="173" t="str">
        <f>"776029705805"</f>
        <v>776029705805</v>
      </c>
      <c r="D119" s="211" t="s">
        <v>25</v>
      </c>
      <c r="E119" s="145" t="s">
        <v>3710</v>
      </c>
      <c r="F119" s="204">
        <v>44482</v>
      </c>
    </row>
    <row r="120" spans="1:6" s="39" customFormat="1" ht="27.95" x14ac:dyDescent="0.3">
      <c r="A120" s="210" t="str">
        <f>"0267773"</f>
        <v>0267773</v>
      </c>
      <c r="B120" s="213" t="s">
        <v>3709</v>
      </c>
      <c r="C120" s="173" t="str">
        <f>"776029702552"</f>
        <v>776029702552</v>
      </c>
      <c r="D120" s="211" t="s">
        <v>25</v>
      </c>
      <c r="E120" s="132" t="s">
        <v>3725</v>
      </c>
      <c r="F120" s="204">
        <v>44482</v>
      </c>
    </row>
    <row r="121" spans="1:6" s="39" customFormat="1" ht="27.95" x14ac:dyDescent="0.3">
      <c r="A121" s="210">
        <v>470096</v>
      </c>
      <c r="B121" s="213" t="s">
        <v>3705</v>
      </c>
      <c r="C121" s="173">
        <v>3391180010604</v>
      </c>
      <c r="D121" s="211" t="s">
        <v>202</v>
      </c>
      <c r="E121" s="132" t="s">
        <v>3706</v>
      </c>
      <c r="F121" s="204">
        <v>44460</v>
      </c>
    </row>
    <row r="122" spans="1:6" s="39" customFormat="1" x14ac:dyDescent="0.3">
      <c r="A122" s="210" t="str">
        <f>"0015253"</f>
        <v>0015253</v>
      </c>
      <c r="B122" s="212" t="s">
        <v>3700</v>
      </c>
      <c r="C122" s="173" t="str">
        <f>"062067380648"</f>
        <v>062067380648</v>
      </c>
      <c r="D122" s="211" t="s">
        <v>98</v>
      </c>
      <c r="E122" s="145" t="s">
        <v>3703</v>
      </c>
      <c r="F122" s="204">
        <v>44447</v>
      </c>
    </row>
    <row r="123" spans="1:6" s="39" customFormat="1" x14ac:dyDescent="0.3">
      <c r="A123" s="210" t="str">
        <f>"0016837"</f>
        <v>0016837</v>
      </c>
      <c r="B123" s="212" t="s">
        <v>3701</v>
      </c>
      <c r="C123" s="173" t="str">
        <f>"062067378317"</f>
        <v>062067378317</v>
      </c>
      <c r="D123" s="211" t="s">
        <v>3105</v>
      </c>
      <c r="E123" s="145" t="s">
        <v>3704</v>
      </c>
      <c r="F123" s="204">
        <v>44447</v>
      </c>
    </row>
    <row r="124" spans="1:6" s="39" customFormat="1" x14ac:dyDescent="0.3">
      <c r="A124" s="210" t="str">
        <f>"0697623"</f>
        <v>0697623</v>
      </c>
      <c r="B124" s="212" t="s">
        <v>3702</v>
      </c>
      <c r="C124" s="173" t="str">
        <f>"062067377747"</f>
        <v>062067377747</v>
      </c>
      <c r="D124" s="211" t="s">
        <v>37</v>
      </c>
      <c r="E124" s="145" t="s">
        <v>3704</v>
      </c>
      <c r="F124" s="204">
        <v>44447</v>
      </c>
    </row>
    <row r="125" spans="1:6" s="39" customFormat="1" ht="17.600000000000001" customHeight="1" x14ac:dyDescent="0.3">
      <c r="A125" s="210" t="str">
        <f>"0019654"</f>
        <v>0019654</v>
      </c>
      <c r="B125" s="212" t="s">
        <v>3698</v>
      </c>
      <c r="C125" s="173" t="str">
        <f>"818278003445"</f>
        <v>818278003445</v>
      </c>
      <c r="D125" s="211" t="s">
        <v>25</v>
      </c>
      <c r="E125" s="145" t="s">
        <v>3699</v>
      </c>
      <c r="F125" s="204">
        <v>44442</v>
      </c>
    </row>
    <row r="126" spans="1:6" s="39" customFormat="1" x14ac:dyDescent="0.3">
      <c r="A126" s="210">
        <v>277590</v>
      </c>
      <c r="B126" s="212" t="s">
        <v>3697</v>
      </c>
      <c r="C126" s="173">
        <v>402492012477</v>
      </c>
      <c r="D126" s="211" t="s">
        <v>202</v>
      </c>
      <c r="E126" s="145" t="s">
        <v>3367</v>
      </c>
      <c r="F126" s="204">
        <v>44447</v>
      </c>
    </row>
    <row r="127" spans="1:6" s="39" customFormat="1" x14ac:dyDescent="0.3">
      <c r="A127" s="210" t="str">
        <f>"0014446"</f>
        <v>0014446</v>
      </c>
      <c r="B127" s="212" t="s">
        <v>3018</v>
      </c>
      <c r="C127" s="173" t="str">
        <f>"4600682407478"</f>
        <v>4600682407478</v>
      </c>
      <c r="D127" s="211" t="s">
        <v>3694</v>
      </c>
      <c r="E127" s="145" t="s">
        <v>3696</v>
      </c>
      <c r="F127" s="204">
        <v>44447</v>
      </c>
    </row>
    <row r="128" spans="1:6" s="39" customFormat="1" x14ac:dyDescent="0.3">
      <c r="A128" s="210" t="str">
        <f>"0676395"</f>
        <v>0676395</v>
      </c>
      <c r="B128" s="212" t="s">
        <v>3695</v>
      </c>
      <c r="C128" s="173" t="str">
        <f>"084543573030"</f>
        <v>084543573030</v>
      </c>
      <c r="D128" s="211" t="s">
        <v>29</v>
      </c>
      <c r="E128" s="145" t="s">
        <v>3696</v>
      </c>
      <c r="F128" s="204">
        <v>44447</v>
      </c>
    </row>
    <row r="129" spans="1:6" s="39" customFormat="1" ht="17.600000000000001" customHeight="1" x14ac:dyDescent="0.3">
      <c r="A129" s="210" t="str">
        <f>"0140509"</f>
        <v>0140509</v>
      </c>
      <c r="B129" s="212" t="s">
        <v>3581</v>
      </c>
      <c r="C129" s="173" t="str">
        <f>"776029705966"</f>
        <v>776029705966</v>
      </c>
      <c r="D129" s="211" t="s">
        <v>98</v>
      </c>
      <c r="E129" s="145" t="s">
        <v>3693</v>
      </c>
      <c r="F129" s="204">
        <v>44439</v>
      </c>
    </row>
    <row r="130" spans="1:6" s="39" customFormat="1" x14ac:dyDescent="0.3">
      <c r="A130" s="210" t="str">
        <f>"0369520"</f>
        <v>0369520</v>
      </c>
      <c r="B130" s="212" t="s">
        <v>509</v>
      </c>
      <c r="C130" s="173" t="str">
        <f>"776029703061"</f>
        <v>776029703061</v>
      </c>
      <c r="D130" s="211" t="s">
        <v>25</v>
      </c>
      <c r="E130" s="145" t="s">
        <v>3367</v>
      </c>
      <c r="F130" s="204">
        <v>44439</v>
      </c>
    </row>
    <row r="131" spans="1:6" s="39" customFormat="1" x14ac:dyDescent="0.3">
      <c r="A131" s="210" t="str">
        <f>"0645408"</f>
        <v>0645408</v>
      </c>
      <c r="B131" s="212" t="s">
        <v>3691</v>
      </c>
      <c r="C131" s="173" t="str">
        <f>"727530562654"</f>
        <v>727530562654</v>
      </c>
      <c r="D131" s="211" t="s">
        <v>25</v>
      </c>
      <c r="E131" s="145" t="s">
        <v>3692</v>
      </c>
      <c r="F131" s="204">
        <v>44453</v>
      </c>
    </row>
    <row r="132" spans="1:6" s="39" customFormat="1" x14ac:dyDescent="0.3">
      <c r="A132" s="210" t="str">
        <f>"0020648"</f>
        <v>0020648</v>
      </c>
      <c r="B132" s="212" t="s">
        <v>3494</v>
      </c>
      <c r="C132" s="173" t="str">
        <f>"627005214012"</f>
        <v>627005214012</v>
      </c>
      <c r="D132" s="211" t="s">
        <v>25</v>
      </c>
      <c r="E132" s="145" t="s">
        <v>3673</v>
      </c>
      <c r="F132" s="204">
        <v>44435</v>
      </c>
    </row>
    <row r="133" spans="1:6" s="39" customFormat="1" x14ac:dyDescent="0.3">
      <c r="A133" s="210">
        <v>169052</v>
      </c>
      <c r="B133" s="212" t="s">
        <v>3690</v>
      </c>
      <c r="C133" s="173">
        <v>677758901554</v>
      </c>
      <c r="D133" s="211" t="s">
        <v>202</v>
      </c>
      <c r="E133" s="145" t="s">
        <v>3367</v>
      </c>
      <c r="F133" s="204">
        <v>44439</v>
      </c>
    </row>
    <row r="134" spans="1:6" s="39" customFormat="1" x14ac:dyDescent="0.3">
      <c r="A134" s="210">
        <v>494310</v>
      </c>
      <c r="B134" s="212" t="s">
        <v>3688</v>
      </c>
      <c r="C134" s="173" t="s">
        <v>3689</v>
      </c>
      <c r="D134" s="211" t="s">
        <v>202</v>
      </c>
      <c r="E134" s="145" t="s">
        <v>3367</v>
      </c>
      <c r="F134" s="204">
        <v>44439</v>
      </c>
    </row>
    <row r="135" spans="1:6" s="39" customFormat="1" x14ac:dyDescent="0.3">
      <c r="A135" s="210">
        <v>407668</v>
      </c>
      <c r="B135" s="212" t="s">
        <v>168</v>
      </c>
      <c r="C135" s="173">
        <v>779315380007</v>
      </c>
      <c r="D135" s="211" t="s">
        <v>25</v>
      </c>
      <c r="E135" s="145" t="s">
        <v>3367</v>
      </c>
      <c r="F135" s="204">
        <v>44432</v>
      </c>
    </row>
    <row r="136" spans="1:6" s="39" customFormat="1" x14ac:dyDescent="0.3">
      <c r="A136" s="210">
        <v>515098</v>
      </c>
      <c r="B136" s="212" t="s">
        <v>3687</v>
      </c>
      <c r="C136" s="173">
        <v>779315375188</v>
      </c>
      <c r="D136" s="211" t="s">
        <v>25</v>
      </c>
      <c r="E136" s="145" t="s">
        <v>3367</v>
      </c>
      <c r="F136" s="204">
        <v>44432</v>
      </c>
    </row>
    <row r="137" spans="1:6" s="39" customFormat="1" x14ac:dyDescent="0.3">
      <c r="A137" s="210">
        <v>481069</v>
      </c>
      <c r="B137" s="212" t="s">
        <v>3682</v>
      </c>
      <c r="C137" s="173">
        <v>628055125006</v>
      </c>
      <c r="D137" s="211" t="s">
        <v>25</v>
      </c>
      <c r="E137" s="145" t="s">
        <v>3686</v>
      </c>
      <c r="F137" s="204">
        <v>44439</v>
      </c>
    </row>
    <row r="138" spans="1:6" s="39" customFormat="1" x14ac:dyDescent="0.3">
      <c r="A138" s="210">
        <v>497925</v>
      </c>
      <c r="B138" s="212" t="s">
        <v>3683</v>
      </c>
      <c r="C138" s="173">
        <v>628055125013</v>
      </c>
      <c r="D138" s="211" t="s">
        <v>25</v>
      </c>
      <c r="E138" s="145" t="s">
        <v>3686</v>
      </c>
      <c r="F138" s="204">
        <v>44439</v>
      </c>
    </row>
    <row r="139" spans="1:6" s="39" customFormat="1" x14ac:dyDescent="0.3">
      <c r="A139" s="210">
        <v>497941</v>
      </c>
      <c r="B139" s="212" t="s">
        <v>3684</v>
      </c>
      <c r="C139" s="173">
        <v>628055125020</v>
      </c>
      <c r="D139" s="211" t="s">
        <v>25</v>
      </c>
      <c r="E139" s="145" t="s">
        <v>3686</v>
      </c>
      <c r="F139" s="204">
        <v>44439</v>
      </c>
    </row>
    <row r="140" spans="1:6" s="39" customFormat="1" x14ac:dyDescent="0.3">
      <c r="A140" s="210">
        <v>539817</v>
      </c>
      <c r="B140" s="212" t="s">
        <v>3685</v>
      </c>
      <c r="C140" s="173">
        <v>628055125037</v>
      </c>
      <c r="D140" s="211" t="s">
        <v>25</v>
      </c>
      <c r="E140" s="145" t="s">
        <v>3686</v>
      </c>
      <c r="F140" s="204">
        <v>44439</v>
      </c>
    </row>
    <row r="141" spans="1:6" s="39" customFormat="1" ht="27.95" x14ac:dyDescent="0.3">
      <c r="A141" s="210">
        <v>307686</v>
      </c>
      <c r="B141" s="213" t="s">
        <v>3680</v>
      </c>
      <c r="C141" s="173">
        <v>670459010181</v>
      </c>
      <c r="D141" s="211" t="s">
        <v>202</v>
      </c>
      <c r="E141" s="132" t="s">
        <v>3681</v>
      </c>
      <c r="F141" s="204">
        <v>44447</v>
      </c>
    </row>
    <row r="142" spans="1:6" s="39" customFormat="1" x14ac:dyDescent="0.3">
      <c r="A142" s="210" t="str">
        <f>"0618090"</f>
        <v>0618090</v>
      </c>
      <c r="B142" s="212" t="s">
        <v>3679</v>
      </c>
      <c r="C142" s="173" t="str">
        <f>"628113006346"</f>
        <v>628113006346</v>
      </c>
      <c r="D142" s="211" t="s">
        <v>48</v>
      </c>
      <c r="E142" s="145" t="s">
        <v>3367</v>
      </c>
      <c r="F142" s="204">
        <v>44427</v>
      </c>
    </row>
    <row r="143" spans="1:6" s="39" customFormat="1" x14ac:dyDescent="0.3">
      <c r="A143" s="210" t="str">
        <f>"0561910"</f>
        <v>0561910</v>
      </c>
      <c r="B143" s="212" t="s">
        <v>3678</v>
      </c>
      <c r="C143" s="173" t="str">
        <f>"5740600020040"</f>
        <v>5740600020040</v>
      </c>
      <c r="D143" s="211" t="s">
        <v>29</v>
      </c>
      <c r="E143" s="145" t="s">
        <v>3367</v>
      </c>
      <c r="F143" s="204">
        <v>44447</v>
      </c>
    </row>
    <row r="144" spans="1:6" s="39" customFormat="1" x14ac:dyDescent="0.3">
      <c r="A144" s="210" t="str">
        <f>"0016142"</f>
        <v>0016142</v>
      </c>
      <c r="B144" s="212" t="s">
        <v>3677</v>
      </c>
      <c r="C144" s="173" t="str">
        <f>"675325010388"</f>
        <v>675325010388</v>
      </c>
      <c r="D144" s="211" t="s">
        <v>555</v>
      </c>
      <c r="E144" s="145" t="s">
        <v>3367</v>
      </c>
      <c r="F144" s="204">
        <v>44447</v>
      </c>
    </row>
    <row r="145" spans="1:6" s="39" customFormat="1" ht="41.95" x14ac:dyDescent="0.3">
      <c r="A145" s="210" t="str">
        <f>"0011674"</f>
        <v>0011674</v>
      </c>
      <c r="B145" s="213" t="s">
        <v>3675</v>
      </c>
      <c r="C145" s="173" t="str">
        <f>"628250584004"</f>
        <v>628250584004</v>
      </c>
      <c r="D145" s="211" t="s">
        <v>25</v>
      </c>
      <c r="E145" s="132" t="s">
        <v>3676</v>
      </c>
      <c r="F145" s="204">
        <v>44439</v>
      </c>
    </row>
    <row r="146" spans="1:6" s="39" customFormat="1" ht="27.95" x14ac:dyDescent="0.3">
      <c r="A146" s="210">
        <v>499384</v>
      </c>
      <c r="B146" s="213" t="s">
        <v>3251</v>
      </c>
      <c r="C146" s="173">
        <v>836460000010</v>
      </c>
      <c r="D146" s="211" t="s">
        <v>202</v>
      </c>
      <c r="E146" s="132" t="s">
        <v>3674</v>
      </c>
      <c r="F146" s="204">
        <v>44439</v>
      </c>
    </row>
    <row r="147" spans="1:6" s="39" customFormat="1" x14ac:dyDescent="0.3">
      <c r="A147" s="210" t="str">
        <f>"0022684"</f>
        <v>0022684</v>
      </c>
      <c r="B147" s="212" t="s">
        <v>3672</v>
      </c>
      <c r="C147" s="173" t="str">
        <f>"627843758013"</f>
        <v>627843758013</v>
      </c>
      <c r="D147" s="211" t="s">
        <v>25</v>
      </c>
      <c r="E147" s="145" t="s">
        <v>3673</v>
      </c>
      <c r="F147" s="204">
        <v>44439</v>
      </c>
    </row>
    <row r="148" spans="1:6" s="39" customFormat="1" x14ac:dyDescent="0.3">
      <c r="A148" s="210" t="str">
        <f>"0019684"</f>
        <v>0019684</v>
      </c>
      <c r="B148" s="212" t="s">
        <v>3671</v>
      </c>
      <c r="C148" s="173" t="str">
        <f>"621433076044"</f>
        <v>621433076044</v>
      </c>
      <c r="D148" s="211" t="s">
        <v>25</v>
      </c>
      <c r="E148" s="145" t="s">
        <v>3367</v>
      </c>
      <c r="F148" s="204">
        <v>44439</v>
      </c>
    </row>
    <row r="149" spans="1:6" s="39" customFormat="1" x14ac:dyDescent="0.3">
      <c r="A149" s="210">
        <v>18947</v>
      </c>
      <c r="B149" s="212" t="s">
        <v>3670</v>
      </c>
      <c r="C149" s="173">
        <v>9419227009160</v>
      </c>
      <c r="D149" s="211" t="s">
        <v>202</v>
      </c>
      <c r="E149" s="145" t="s">
        <v>3367</v>
      </c>
      <c r="F149" s="204">
        <v>44418</v>
      </c>
    </row>
    <row r="150" spans="1:6" s="39" customFormat="1" x14ac:dyDescent="0.3">
      <c r="A150" s="210">
        <v>19062</v>
      </c>
      <c r="B150" s="212" t="s">
        <v>3667</v>
      </c>
      <c r="C150" s="173" t="s">
        <v>3669</v>
      </c>
      <c r="D150" s="211" t="s">
        <v>202</v>
      </c>
      <c r="E150" s="145" t="s">
        <v>3367</v>
      </c>
      <c r="F150" s="204">
        <v>44432</v>
      </c>
    </row>
    <row r="151" spans="1:6" s="39" customFormat="1" x14ac:dyDescent="0.3">
      <c r="A151" s="210">
        <v>19295</v>
      </c>
      <c r="B151" s="212" t="s">
        <v>3668</v>
      </c>
      <c r="C151" s="173">
        <v>777081218722</v>
      </c>
      <c r="D151" s="211" t="s">
        <v>1301</v>
      </c>
      <c r="E151" s="145" t="s">
        <v>3367</v>
      </c>
      <c r="F151" s="204">
        <v>44432</v>
      </c>
    </row>
    <row r="152" spans="1:6" s="39" customFormat="1" x14ac:dyDescent="0.3">
      <c r="A152" s="174">
        <v>11431</v>
      </c>
      <c r="B152" s="209" t="s">
        <v>3665</v>
      </c>
      <c r="C152" s="173" t="s">
        <v>3666</v>
      </c>
      <c r="D152" s="157" t="s">
        <v>202</v>
      </c>
      <c r="E152" s="172" t="s">
        <v>3664</v>
      </c>
      <c r="F152" s="204">
        <v>44418</v>
      </c>
    </row>
    <row r="153" spans="1:6" s="39" customFormat="1" x14ac:dyDescent="0.3">
      <c r="A153" s="174" t="str">
        <f>"0013461"</f>
        <v>0013461</v>
      </c>
      <c r="B153" s="184" t="s">
        <v>3662</v>
      </c>
      <c r="C153" s="159" t="str">
        <f>"627987185546"</f>
        <v>627987185546</v>
      </c>
      <c r="D153" s="157" t="s">
        <v>25</v>
      </c>
      <c r="E153" s="145" t="s">
        <v>3663</v>
      </c>
      <c r="F153" s="204">
        <v>44425</v>
      </c>
    </row>
    <row r="154" spans="1:6" s="39" customFormat="1" x14ac:dyDescent="0.3">
      <c r="A154" s="174" t="str">
        <f>"0321877"</f>
        <v>0321877</v>
      </c>
      <c r="B154" s="184" t="s">
        <v>683</v>
      </c>
      <c r="C154" s="159" t="str">
        <f>"779446200472"</f>
        <v>779446200472</v>
      </c>
      <c r="D154" s="157" t="s">
        <v>25</v>
      </c>
      <c r="E154" s="145" t="s">
        <v>3367</v>
      </c>
      <c r="F154" s="204">
        <v>44419</v>
      </c>
    </row>
    <row r="155" spans="1:6" s="39" customFormat="1" x14ac:dyDescent="0.3">
      <c r="A155" s="174" t="str">
        <f>"0015166"</f>
        <v>0015166</v>
      </c>
      <c r="B155" s="184" t="s">
        <v>3659</v>
      </c>
      <c r="C155" s="159" t="str">
        <f>"627843374367"</f>
        <v>627843374367</v>
      </c>
      <c r="D155" s="157" t="s">
        <v>25</v>
      </c>
      <c r="E155" s="145" t="s">
        <v>3367</v>
      </c>
      <c r="F155" s="204">
        <v>44432</v>
      </c>
    </row>
    <row r="156" spans="1:6" s="39" customFormat="1" x14ac:dyDescent="0.3">
      <c r="A156" s="174" t="str">
        <f>"0016367"</f>
        <v>0016367</v>
      </c>
      <c r="B156" s="184" t="s">
        <v>3660</v>
      </c>
      <c r="C156" s="159" t="str">
        <f>"627843374404"</f>
        <v>627843374404</v>
      </c>
      <c r="D156" s="157" t="s">
        <v>25</v>
      </c>
      <c r="E156" s="145" t="s">
        <v>3367</v>
      </c>
      <c r="F156" s="204">
        <v>44432</v>
      </c>
    </row>
    <row r="157" spans="1:6" s="39" customFormat="1" x14ac:dyDescent="0.3">
      <c r="A157" s="174" t="str">
        <f>"0900324"</f>
        <v>0900324</v>
      </c>
      <c r="B157" s="184" t="s">
        <v>3661</v>
      </c>
      <c r="C157" s="159" t="str">
        <f>"627843374183"</f>
        <v>627843374183</v>
      </c>
      <c r="D157" s="157" t="s">
        <v>25</v>
      </c>
      <c r="E157" s="145" t="s">
        <v>3367</v>
      </c>
      <c r="F157" s="204">
        <v>44432</v>
      </c>
    </row>
    <row r="158" spans="1:6" s="39" customFormat="1" x14ac:dyDescent="0.3">
      <c r="A158" s="174" t="str">
        <f>"0010076"</f>
        <v>0010076</v>
      </c>
      <c r="B158" s="184" t="s">
        <v>1671</v>
      </c>
      <c r="C158" s="159" t="str">
        <f>"834873000115"</f>
        <v>834873000115</v>
      </c>
      <c r="D158" s="157" t="s">
        <v>25</v>
      </c>
      <c r="E158" s="145" t="s">
        <v>3367</v>
      </c>
      <c r="F158" s="204">
        <v>44406</v>
      </c>
    </row>
    <row r="159" spans="1:6" s="39" customFormat="1" x14ac:dyDescent="0.3">
      <c r="A159" s="174" t="str">
        <f>"0015389"</f>
        <v>0015389</v>
      </c>
      <c r="B159" s="184" t="s">
        <v>3658</v>
      </c>
      <c r="C159" s="159" t="str">
        <f>"834873000276"</f>
        <v>834873000276</v>
      </c>
      <c r="D159" s="157" t="s">
        <v>25</v>
      </c>
      <c r="E159" s="145" t="s">
        <v>3367</v>
      </c>
      <c r="F159" s="204">
        <v>44406</v>
      </c>
    </row>
    <row r="160" spans="1:6" s="39" customFormat="1" x14ac:dyDescent="0.3">
      <c r="A160" s="174" t="str">
        <f>"0019730"</f>
        <v>0019730</v>
      </c>
      <c r="B160" s="184" t="s">
        <v>3657</v>
      </c>
      <c r="C160" s="159" t="str">
        <f>"621433033047"</f>
        <v>621433033047</v>
      </c>
      <c r="D160" s="157" t="s">
        <v>124</v>
      </c>
      <c r="E160" s="145" t="s">
        <v>3367</v>
      </c>
      <c r="F160" s="204">
        <v>44413</v>
      </c>
    </row>
    <row r="161" spans="1:6" s="39" customFormat="1" x14ac:dyDescent="0.3">
      <c r="A161" s="174">
        <v>610972</v>
      </c>
      <c r="B161" s="184" t="s">
        <v>3655</v>
      </c>
      <c r="C161" s="159" t="s">
        <v>3654</v>
      </c>
      <c r="D161" s="157" t="s">
        <v>202</v>
      </c>
      <c r="E161" s="145" t="s">
        <v>3656</v>
      </c>
      <c r="F161" s="204" t="s">
        <v>3653</v>
      </c>
    </row>
    <row r="162" spans="1:6" s="39" customFormat="1" x14ac:dyDescent="0.3">
      <c r="A162" s="174" t="str">
        <f>"0016141"</f>
        <v>0016141</v>
      </c>
      <c r="B162" s="184" t="s">
        <v>3652</v>
      </c>
      <c r="C162" s="159" t="str">
        <f>"675325010319"</f>
        <v>675325010319</v>
      </c>
      <c r="D162" s="157" t="s">
        <v>555</v>
      </c>
      <c r="E162" s="145" t="s">
        <v>3367</v>
      </c>
      <c r="F162" s="204">
        <v>44425</v>
      </c>
    </row>
    <row r="163" spans="1:6" s="39" customFormat="1" x14ac:dyDescent="0.3">
      <c r="A163" s="174">
        <v>18953</v>
      </c>
      <c r="B163" s="184" t="s">
        <v>3651</v>
      </c>
      <c r="C163" s="159">
        <v>9322214014934</v>
      </c>
      <c r="D163" s="157" t="s">
        <v>202</v>
      </c>
      <c r="E163" s="145" t="s">
        <v>3367</v>
      </c>
      <c r="F163" s="204">
        <v>44404</v>
      </c>
    </row>
    <row r="164" spans="1:6" s="39" customFormat="1" x14ac:dyDescent="0.3">
      <c r="A164" s="174">
        <v>187013</v>
      </c>
      <c r="B164" s="184" t="s">
        <v>3650</v>
      </c>
      <c r="C164" s="159">
        <v>9403112400668</v>
      </c>
      <c r="D164" s="157" t="s">
        <v>202</v>
      </c>
      <c r="E164" s="145" t="s">
        <v>3367</v>
      </c>
      <c r="F164" s="204">
        <v>44404</v>
      </c>
    </row>
    <row r="165" spans="1:6" s="39" customFormat="1" x14ac:dyDescent="0.3">
      <c r="A165" s="174">
        <v>572040</v>
      </c>
      <c r="B165" s="184" t="s">
        <v>3648</v>
      </c>
      <c r="C165" s="159">
        <v>9311043833281</v>
      </c>
      <c r="D165" s="157" t="s">
        <v>202</v>
      </c>
      <c r="E165" s="145" t="s">
        <v>3367</v>
      </c>
      <c r="F165" s="204">
        <v>44418</v>
      </c>
    </row>
    <row r="166" spans="1:6" s="39" customFormat="1" x14ac:dyDescent="0.3">
      <c r="A166" s="174">
        <v>458661</v>
      </c>
      <c r="B166" s="184" t="s">
        <v>3647</v>
      </c>
      <c r="C166" s="173" t="s">
        <v>3649</v>
      </c>
      <c r="D166" s="157" t="s">
        <v>202</v>
      </c>
      <c r="E166" s="145" t="s">
        <v>3367</v>
      </c>
      <c r="F166" s="204">
        <v>44418</v>
      </c>
    </row>
    <row r="167" spans="1:6" s="39" customFormat="1" x14ac:dyDescent="0.3">
      <c r="A167" s="174">
        <v>553800</v>
      </c>
      <c r="B167" s="184" t="s">
        <v>3645</v>
      </c>
      <c r="C167" s="159">
        <v>7804320150642</v>
      </c>
      <c r="D167" s="157" t="s">
        <v>202</v>
      </c>
      <c r="E167" s="145" t="s">
        <v>3367</v>
      </c>
      <c r="F167" s="204">
        <v>44404</v>
      </c>
    </row>
    <row r="168" spans="1:6" s="39" customFormat="1" x14ac:dyDescent="0.3">
      <c r="A168" s="174">
        <v>400564</v>
      </c>
      <c r="B168" s="184" t="s">
        <v>3646</v>
      </c>
      <c r="C168" s="159">
        <v>7792319655608</v>
      </c>
      <c r="D168" s="157" t="s">
        <v>202</v>
      </c>
      <c r="E168" s="145" t="s">
        <v>3367</v>
      </c>
      <c r="F168" s="204">
        <v>44404</v>
      </c>
    </row>
    <row r="169" spans="1:6" s="39" customFormat="1" x14ac:dyDescent="0.3">
      <c r="A169" s="174" t="str">
        <f>"0020971"</f>
        <v>0020971</v>
      </c>
      <c r="B169" s="184" t="s">
        <v>3643</v>
      </c>
      <c r="C169" s="159" t="str">
        <f>"627987400724"</f>
        <v>627987400724</v>
      </c>
      <c r="D169" s="157" t="s">
        <v>37</v>
      </c>
      <c r="E169" s="145" t="s">
        <v>3644</v>
      </c>
      <c r="F169" s="204">
        <v>44399</v>
      </c>
    </row>
    <row r="170" spans="1:6" s="39" customFormat="1" x14ac:dyDescent="0.3">
      <c r="A170" s="174" t="str">
        <f>"0378216"</f>
        <v>0378216</v>
      </c>
      <c r="B170" s="184" t="s">
        <v>2595</v>
      </c>
      <c r="C170" s="159" t="str">
        <f>"4260108510016"</f>
        <v>4260108510016</v>
      </c>
      <c r="D170" s="157" t="s">
        <v>29</v>
      </c>
      <c r="E170" s="145" t="s">
        <v>3367</v>
      </c>
      <c r="F170" s="204">
        <v>44412</v>
      </c>
    </row>
    <row r="171" spans="1:6" s="39" customFormat="1" ht="27.95" x14ac:dyDescent="0.3">
      <c r="A171" s="182">
        <v>10440</v>
      </c>
      <c r="B171" s="208" t="s">
        <v>3634</v>
      </c>
      <c r="C171" s="159">
        <v>627843405153</v>
      </c>
      <c r="D171" s="157" t="s">
        <v>25</v>
      </c>
      <c r="E171" s="172" t="s">
        <v>3638</v>
      </c>
      <c r="F171" s="204">
        <v>44398</v>
      </c>
    </row>
    <row r="172" spans="1:6" s="39" customFormat="1" ht="27.95" x14ac:dyDescent="0.3">
      <c r="A172" s="182">
        <v>18322</v>
      </c>
      <c r="B172" s="208" t="s">
        <v>3635</v>
      </c>
      <c r="C172" s="159">
        <v>830803000347</v>
      </c>
      <c r="D172" s="157" t="s">
        <v>25</v>
      </c>
      <c r="E172" s="172" t="s">
        <v>3639</v>
      </c>
      <c r="F172" s="204">
        <v>44398</v>
      </c>
    </row>
    <row r="173" spans="1:6" s="39" customFormat="1" ht="27.95" x14ac:dyDescent="0.3">
      <c r="A173" s="182">
        <v>400853</v>
      </c>
      <c r="B173" s="208" t="s">
        <v>3636</v>
      </c>
      <c r="C173" s="159">
        <v>627843405085</v>
      </c>
      <c r="D173" s="157" t="s">
        <v>25</v>
      </c>
      <c r="E173" s="172" t="s">
        <v>3640</v>
      </c>
      <c r="F173" s="204">
        <v>44398</v>
      </c>
    </row>
    <row r="174" spans="1:6" s="39" customFormat="1" ht="27.95" x14ac:dyDescent="0.3">
      <c r="A174" s="182">
        <v>467167</v>
      </c>
      <c r="B174" s="208" t="s">
        <v>3124</v>
      </c>
      <c r="C174" s="159">
        <v>627843405122</v>
      </c>
      <c r="D174" s="157" t="s">
        <v>25</v>
      </c>
      <c r="E174" s="172" t="s">
        <v>3641</v>
      </c>
      <c r="F174" s="204">
        <v>44398</v>
      </c>
    </row>
    <row r="175" spans="1:6" s="39" customFormat="1" ht="27.95" x14ac:dyDescent="0.3">
      <c r="A175" s="207" t="s">
        <v>162</v>
      </c>
      <c r="B175" s="184" t="s">
        <v>3637</v>
      </c>
      <c r="C175" s="159" t="s">
        <v>162</v>
      </c>
      <c r="D175" s="157" t="s">
        <v>162</v>
      </c>
      <c r="E175" s="172" t="s">
        <v>3642</v>
      </c>
      <c r="F175" s="204">
        <v>44398</v>
      </c>
    </row>
    <row r="176" spans="1:6" s="39" customFormat="1" x14ac:dyDescent="0.3">
      <c r="A176" s="207" t="s">
        <v>3633</v>
      </c>
      <c r="B176" s="184" t="s">
        <v>3632</v>
      </c>
      <c r="C176" s="159">
        <v>847505000933</v>
      </c>
      <c r="D176" s="157" t="s">
        <v>202</v>
      </c>
      <c r="E176" s="145" t="s">
        <v>3367</v>
      </c>
      <c r="F176" s="204">
        <v>44397</v>
      </c>
    </row>
    <row r="177" spans="1:6" s="39" customFormat="1" x14ac:dyDescent="0.3">
      <c r="A177" s="174" t="str">
        <f>"0017604"</f>
        <v>0017604</v>
      </c>
      <c r="B177" s="184" t="s">
        <v>3631</v>
      </c>
      <c r="C177" s="159" t="str">
        <f>"628028020277"</f>
        <v>628028020277</v>
      </c>
      <c r="D177" s="157" t="s">
        <v>25</v>
      </c>
      <c r="E177" s="145" t="s">
        <v>3367</v>
      </c>
      <c r="F177" s="204">
        <v>44412</v>
      </c>
    </row>
    <row r="178" spans="1:6" s="39" customFormat="1" ht="27.95" x14ac:dyDescent="0.3">
      <c r="A178" s="174" t="str">
        <f>"0639559"</f>
        <v>0639559</v>
      </c>
      <c r="B178" s="184" t="s">
        <v>3629</v>
      </c>
      <c r="C178" s="159" t="str">
        <f>"628113006292"</f>
        <v>628113006292</v>
      </c>
      <c r="D178" s="157" t="s">
        <v>48</v>
      </c>
      <c r="E178" s="172" t="s">
        <v>3630</v>
      </c>
      <c r="F178" s="204">
        <v>44412</v>
      </c>
    </row>
    <row r="179" spans="1:6" s="39" customFormat="1" x14ac:dyDescent="0.3">
      <c r="A179" s="174" t="str">
        <f>"0015879"</f>
        <v>0015879</v>
      </c>
      <c r="B179" s="184" t="s">
        <v>3628</v>
      </c>
      <c r="C179" s="159" t="str">
        <f>"818662000418"</f>
        <v>818662000418</v>
      </c>
      <c r="D179" s="157" t="s">
        <v>25</v>
      </c>
      <c r="E179" s="145" t="s">
        <v>3367</v>
      </c>
      <c r="F179" s="204">
        <v>44412</v>
      </c>
    </row>
    <row r="180" spans="1:6" s="39" customFormat="1" x14ac:dyDescent="0.3">
      <c r="A180" s="174" t="str">
        <f>"0436980"</f>
        <v>0436980</v>
      </c>
      <c r="B180" s="184" t="s">
        <v>927</v>
      </c>
      <c r="C180" s="159" t="str">
        <f>"818662000067"</f>
        <v>818662000067</v>
      </c>
      <c r="D180" s="157" t="s">
        <v>25</v>
      </c>
      <c r="E180" s="145" t="s">
        <v>3367</v>
      </c>
      <c r="F180" s="204">
        <v>44412</v>
      </c>
    </row>
    <row r="181" spans="1:6" s="39" customFormat="1" x14ac:dyDescent="0.3">
      <c r="A181" s="174">
        <v>635722</v>
      </c>
      <c r="B181" s="184" t="s">
        <v>3621</v>
      </c>
      <c r="C181" s="173" t="s">
        <v>3617</v>
      </c>
      <c r="D181" s="157" t="s">
        <v>202</v>
      </c>
      <c r="E181" s="145" t="s">
        <v>3367</v>
      </c>
      <c r="F181" s="204">
        <v>44390</v>
      </c>
    </row>
    <row r="182" spans="1:6" s="39" customFormat="1" x14ac:dyDescent="0.3">
      <c r="A182" s="174">
        <v>200501</v>
      </c>
      <c r="B182" s="184" t="s">
        <v>3622</v>
      </c>
      <c r="C182" s="173" t="s">
        <v>3618</v>
      </c>
      <c r="D182" s="157" t="s">
        <v>202</v>
      </c>
      <c r="E182" s="145" t="s">
        <v>3616</v>
      </c>
      <c r="F182" s="204">
        <v>44390</v>
      </c>
    </row>
    <row r="183" spans="1:6" s="39" customFormat="1" x14ac:dyDescent="0.3">
      <c r="A183" s="174">
        <v>12841</v>
      </c>
      <c r="B183" s="184" t="s">
        <v>3623</v>
      </c>
      <c r="C183" s="159">
        <v>624654010644</v>
      </c>
      <c r="D183" s="157" t="s">
        <v>202</v>
      </c>
      <c r="E183" s="145" t="s">
        <v>3616</v>
      </c>
      <c r="F183" s="204">
        <v>44390</v>
      </c>
    </row>
    <row r="184" spans="1:6" s="39" customFormat="1" x14ac:dyDescent="0.3">
      <c r="A184" s="174">
        <v>631036</v>
      </c>
      <c r="B184" s="184" t="s">
        <v>3624</v>
      </c>
      <c r="C184" s="173" t="s">
        <v>3625</v>
      </c>
      <c r="D184" s="157" t="s">
        <v>202</v>
      </c>
      <c r="E184" s="145" t="s">
        <v>3367</v>
      </c>
      <c r="F184" s="204">
        <v>44390</v>
      </c>
    </row>
    <row r="185" spans="1:6" s="39" customFormat="1" x14ac:dyDescent="0.3">
      <c r="A185" s="174">
        <v>631044</v>
      </c>
      <c r="B185" s="184" t="s">
        <v>3626</v>
      </c>
      <c r="C185" s="173" t="s">
        <v>3627</v>
      </c>
      <c r="D185" s="157" t="s">
        <v>202</v>
      </c>
      <c r="E185" s="145" t="s">
        <v>3367</v>
      </c>
      <c r="F185" s="204">
        <v>44390</v>
      </c>
    </row>
    <row r="186" spans="1:6" s="39" customFormat="1" x14ac:dyDescent="0.3">
      <c r="A186" s="174">
        <v>12840</v>
      </c>
      <c r="B186" s="184" t="s">
        <v>3620</v>
      </c>
      <c r="C186" s="173" t="s">
        <v>3619</v>
      </c>
      <c r="D186" s="157" t="s">
        <v>202</v>
      </c>
      <c r="E186" s="145" t="s">
        <v>3367</v>
      </c>
      <c r="F186" s="204">
        <v>44390</v>
      </c>
    </row>
    <row r="187" spans="1:6" s="39" customFormat="1" x14ac:dyDescent="0.3">
      <c r="A187" s="174" t="str">
        <f>"0016786"</f>
        <v>0016786</v>
      </c>
      <c r="B187" s="184" t="s">
        <v>3615</v>
      </c>
      <c r="C187" s="159" t="str">
        <f>"628669092541"</f>
        <v>628669092541</v>
      </c>
      <c r="D187" s="157" t="s">
        <v>25</v>
      </c>
      <c r="E187" s="145" t="s">
        <v>3367</v>
      </c>
      <c r="F187" s="204">
        <v>44392</v>
      </c>
    </row>
    <row r="188" spans="1:6" s="39" customFormat="1" ht="14.1" customHeight="1" x14ac:dyDescent="0.3">
      <c r="A188" s="174" t="str">
        <f>"0422345"</f>
        <v>0422345</v>
      </c>
      <c r="B188" s="184" t="s">
        <v>3555</v>
      </c>
      <c r="C188" s="159">
        <v>776029702491</v>
      </c>
      <c r="D188" s="157" t="s">
        <v>98</v>
      </c>
      <c r="E188" s="145" t="s">
        <v>3614</v>
      </c>
      <c r="F188" s="204">
        <v>44404</v>
      </c>
    </row>
    <row r="189" spans="1:6" s="39" customFormat="1" ht="27.95" x14ac:dyDescent="0.3">
      <c r="A189" s="174" t="str">
        <f>"0614164"</f>
        <v>0614164</v>
      </c>
      <c r="B189" s="184" t="s">
        <v>3612</v>
      </c>
      <c r="C189" s="159" t="str">
        <f>"812554000883"</f>
        <v>812554000883</v>
      </c>
      <c r="D189" s="157" t="s">
        <v>106</v>
      </c>
      <c r="E189" s="172" t="s">
        <v>3613</v>
      </c>
      <c r="F189" s="204">
        <v>44397</v>
      </c>
    </row>
    <row r="190" spans="1:6" s="39" customFormat="1" x14ac:dyDescent="0.3">
      <c r="A190" s="174">
        <v>13982</v>
      </c>
      <c r="B190" s="184" t="s">
        <v>3611</v>
      </c>
      <c r="C190" s="159">
        <v>661429000349</v>
      </c>
      <c r="D190" s="157" t="s">
        <v>3610</v>
      </c>
      <c r="E190" s="145" t="s">
        <v>3367</v>
      </c>
      <c r="F190" s="204">
        <v>44378</v>
      </c>
    </row>
    <row r="191" spans="1:6" s="39" customFormat="1" x14ac:dyDescent="0.3">
      <c r="A191" s="174">
        <v>445056</v>
      </c>
      <c r="B191" s="184" t="s">
        <v>3609</v>
      </c>
      <c r="C191" s="159">
        <v>626990234999</v>
      </c>
      <c r="D191" s="157" t="s">
        <v>3610</v>
      </c>
      <c r="E191" s="145" t="s">
        <v>3367</v>
      </c>
      <c r="F191" s="204">
        <v>44378</v>
      </c>
    </row>
    <row r="192" spans="1:6" s="39" customFormat="1" x14ac:dyDescent="0.3">
      <c r="A192" s="174">
        <v>16879</v>
      </c>
      <c r="B192" s="184" t="s">
        <v>3601</v>
      </c>
      <c r="C192" s="159">
        <v>855315005963</v>
      </c>
      <c r="D192" s="157" t="s">
        <v>98</v>
      </c>
      <c r="E192" s="145" t="s">
        <v>3367</v>
      </c>
      <c r="F192" s="204">
        <v>44377</v>
      </c>
    </row>
    <row r="193" spans="1:6" s="39" customFormat="1" x14ac:dyDescent="0.3">
      <c r="A193" s="174">
        <v>15307</v>
      </c>
      <c r="B193" s="184" t="s">
        <v>3602</v>
      </c>
      <c r="C193" s="159">
        <v>627005030742</v>
      </c>
      <c r="D193" s="157" t="s">
        <v>124</v>
      </c>
      <c r="E193" s="145" t="s">
        <v>3367</v>
      </c>
      <c r="F193" s="204">
        <v>44377</v>
      </c>
    </row>
    <row r="194" spans="1:6" s="39" customFormat="1" x14ac:dyDescent="0.3">
      <c r="A194" s="174">
        <v>17943</v>
      </c>
      <c r="B194" s="184" t="s">
        <v>3603</v>
      </c>
      <c r="C194" s="159">
        <v>852500001557</v>
      </c>
      <c r="D194" s="157" t="s">
        <v>124</v>
      </c>
      <c r="E194" s="145" t="s">
        <v>3367</v>
      </c>
      <c r="F194" s="204">
        <v>44377</v>
      </c>
    </row>
    <row r="195" spans="1:6" s="39" customFormat="1" x14ac:dyDescent="0.3">
      <c r="A195" s="174">
        <v>445577</v>
      </c>
      <c r="B195" s="184" t="s">
        <v>3604</v>
      </c>
      <c r="C195" s="159">
        <v>625640282830</v>
      </c>
      <c r="D195" s="157" t="s">
        <v>25</v>
      </c>
      <c r="E195" s="145" t="s">
        <v>3367</v>
      </c>
      <c r="F195" s="204">
        <v>44377</v>
      </c>
    </row>
    <row r="196" spans="1:6" s="39" customFormat="1" x14ac:dyDescent="0.3">
      <c r="A196" s="174">
        <v>13790</v>
      </c>
      <c r="B196" s="184" t="s">
        <v>3605</v>
      </c>
      <c r="C196" s="159">
        <v>627987072976</v>
      </c>
      <c r="D196" s="157" t="s">
        <v>1620</v>
      </c>
      <c r="E196" s="145" t="s">
        <v>3367</v>
      </c>
      <c r="F196" s="204">
        <v>44377</v>
      </c>
    </row>
    <row r="197" spans="1:6" s="39" customFormat="1" x14ac:dyDescent="0.3">
      <c r="A197" s="174">
        <v>17220</v>
      </c>
      <c r="B197" s="184" t="s">
        <v>3606</v>
      </c>
      <c r="C197" s="159">
        <v>628055324171</v>
      </c>
      <c r="D197" s="157" t="s">
        <v>37</v>
      </c>
      <c r="E197" s="145" t="s">
        <v>3367</v>
      </c>
      <c r="F197" s="204">
        <v>44397</v>
      </c>
    </row>
    <row r="198" spans="1:6" s="39" customFormat="1" x14ac:dyDescent="0.3">
      <c r="A198" s="174">
        <v>557876</v>
      </c>
      <c r="B198" s="184" t="s">
        <v>3607</v>
      </c>
      <c r="C198" s="159">
        <v>628055459071</v>
      </c>
      <c r="D198" s="157" t="s">
        <v>48</v>
      </c>
      <c r="E198" s="145" t="s">
        <v>3367</v>
      </c>
      <c r="F198" s="204">
        <v>44397</v>
      </c>
    </row>
    <row r="199" spans="1:6" s="39" customFormat="1" x14ac:dyDescent="0.3">
      <c r="A199" s="174">
        <v>19613</v>
      </c>
      <c r="B199" s="184" t="s">
        <v>3608</v>
      </c>
      <c r="C199" s="159">
        <v>644216910670</v>
      </c>
      <c r="D199" s="157" t="s">
        <v>48</v>
      </c>
      <c r="E199" s="145" t="s">
        <v>3367</v>
      </c>
      <c r="F199" s="204">
        <v>44397</v>
      </c>
    </row>
    <row r="200" spans="1:6" s="39" customFormat="1" x14ac:dyDescent="0.3">
      <c r="A200" s="174">
        <v>616276</v>
      </c>
      <c r="B200" s="184" t="s">
        <v>2453</v>
      </c>
      <c r="C200" s="159">
        <v>8002062000419</v>
      </c>
      <c r="D200" s="157" t="s">
        <v>496</v>
      </c>
      <c r="E200" s="145" t="s">
        <v>3367</v>
      </c>
      <c r="F200" s="204">
        <v>44397</v>
      </c>
    </row>
    <row r="201" spans="1:6" s="39" customFormat="1" x14ac:dyDescent="0.3">
      <c r="A201" s="174">
        <v>297663</v>
      </c>
      <c r="B201" s="184" t="s">
        <v>3600</v>
      </c>
      <c r="C201" s="159">
        <v>8002062001713</v>
      </c>
      <c r="D201" s="157" t="s">
        <v>137</v>
      </c>
      <c r="E201" s="145" t="s">
        <v>3367</v>
      </c>
      <c r="F201" s="204">
        <v>44397</v>
      </c>
    </row>
    <row r="202" spans="1:6" s="39" customFormat="1" x14ac:dyDescent="0.3">
      <c r="A202" s="174">
        <v>581645</v>
      </c>
      <c r="B202" s="184" t="s">
        <v>3599</v>
      </c>
      <c r="C202" s="159">
        <v>3174360073510</v>
      </c>
      <c r="D202" s="157" t="s">
        <v>202</v>
      </c>
      <c r="E202" s="145" t="s">
        <v>3367</v>
      </c>
      <c r="F202" s="204">
        <v>44397</v>
      </c>
    </row>
    <row r="203" spans="1:6" s="39" customFormat="1" x14ac:dyDescent="0.3">
      <c r="A203" s="174">
        <v>589432</v>
      </c>
      <c r="B203" s="184" t="s">
        <v>3598</v>
      </c>
      <c r="C203" s="159">
        <v>3174360074999</v>
      </c>
      <c r="D203" s="157" t="s">
        <v>202</v>
      </c>
      <c r="E203" s="145" t="s">
        <v>3367</v>
      </c>
      <c r="F203" s="204">
        <v>44397</v>
      </c>
    </row>
    <row r="204" spans="1:6" s="39" customFormat="1" x14ac:dyDescent="0.3">
      <c r="A204" s="174">
        <v>11938</v>
      </c>
      <c r="B204" s="205" t="s">
        <v>3597</v>
      </c>
      <c r="C204" s="206">
        <v>9311769004422</v>
      </c>
      <c r="D204" s="157" t="s">
        <v>202</v>
      </c>
      <c r="E204" s="145" t="s">
        <v>3367</v>
      </c>
      <c r="F204" s="204">
        <v>44376</v>
      </c>
    </row>
    <row r="205" spans="1:6" s="39" customFormat="1" x14ac:dyDescent="0.3">
      <c r="A205" s="174">
        <v>297655</v>
      </c>
      <c r="B205" s="184" t="s">
        <v>2847</v>
      </c>
      <c r="C205" s="159">
        <v>8002062001744</v>
      </c>
      <c r="D205" s="157" t="s">
        <v>137</v>
      </c>
      <c r="E205" s="145" t="s">
        <v>3367</v>
      </c>
      <c r="F205" s="204">
        <v>44376</v>
      </c>
    </row>
    <row r="206" spans="1:6" s="39" customFormat="1" x14ac:dyDescent="0.3">
      <c r="A206" s="174">
        <v>449777</v>
      </c>
      <c r="B206" s="205" t="s">
        <v>3596</v>
      </c>
      <c r="C206" s="159">
        <v>3176780029382</v>
      </c>
      <c r="D206" s="157" t="s">
        <v>202</v>
      </c>
      <c r="E206" s="145" t="s">
        <v>3367</v>
      </c>
      <c r="F206" s="204">
        <v>44376</v>
      </c>
    </row>
    <row r="207" spans="1:6" s="39" customFormat="1" ht="27.95" x14ac:dyDescent="0.3">
      <c r="A207" s="155" t="str">
        <f>"0016896"</f>
        <v>0016896</v>
      </c>
      <c r="B207" s="172" t="s">
        <v>3594</v>
      </c>
      <c r="C207" s="159" t="str">
        <f>"626824190040"</f>
        <v>626824190040</v>
      </c>
      <c r="D207" s="157" t="s">
        <v>25</v>
      </c>
      <c r="E207" s="172" t="s">
        <v>3595</v>
      </c>
      <c r="F207" s="204">
        <v>44390</v>
      </c>
    </row>
    <row r="208" spans="1:6" s="203" customFormat="1" x14ac:dyDescent="0.3">
      <c r="A208" s="155" t="s">
        <v>162</v>
      </c>
      <c r="B208" s="145" t="s">
        <v>3592</v>
      </c>
      <c r="C208" s="133" t="s">
        <v>162</v>
      </c>
      <c r="D208" s="19" t="s">
        <v>162</v>
      </c>
      <c r="E208" s="145" t="s">
        <v>3593</v>
      </c>
      <c r="F208" s="200">
        <v>44378</v>
      </c>
    </row>
    <row r="209" spans="1:6" s="203" customFormat="1" x14ac:dyDescent="0.3">
      <c r="A209" s="155" t="s">
        <v>162</v>
      </c>
      <c r="B209" s="145" t="s">
        <v>3591</v>
      </c>
      <c r="C209" s="133" t="s">
        <v>162</v>
      </c>
      <c r="D209" s="19" t="s">
        <v>162</v>
      </c>
      <c r="E209" s="145" t="s">
        <v>3593</v>
      </c>
      <c r="F209" s="200">
        <v>44378</v>
      </c>
    </row>
    <row r="210" spans="1:6" s="203" customFormat="1" x14ac:dyDescent="0.3">
      <c r="A210" s="155" t="s">
        <v>162</v>
      </c>
      <c r="B210" s="145" t="s">
        <v>3584</v>
      </c>
      <c r="C210" s="133" t="s">
        <v>162</v>
      </c>
      <c r="D210" s="19" t="s">
        <v>162</v>
      </c>
      <c r="E210" s="145" t="s">
        <v>3593</v>
      </c>
      <c r="F210" s="200">
        <v>44378</v>
      </c>
    </row>
    <row r="211" spans="1:6" s="203" customFormat="1" x14ac:dyDescent="0.3">
      <c r="A211" s="155" t="s">
        <v>162</v>
      </c>
      <c r="B211" s="145" t="s">
        <v>3585</v>
      </c>
      <c r="C211" s="133" t="s">
        <v>162</v>
      </c>
      <c r="D211" s="19" t="s">
        <v>162</v>
      </c>
      <c r="E211" s="145" t="s">
        <v>3593</v>
      </c>
      <c r="F211" s="200">
        <v>44378</v>
      </c>
    </row>
    <row r="212" spans="1:6" s="203" customFormat="1" x14ac:dyDescent="0.3">
      <c r="A212" s="155" t="s">
        <v>162</v>
      </c>
      <c r="B212" s="145" t="s">
        <v>3586</v>
      </c>
      <c r="C212" s="133" t="s">
        <v>162</v>
      </c>
      <c r="D212" s="19" t="s">
        <v>162</v>
      </c>
      <c r="E212" s="145" t="s">
        <v>3593</v>
      </c>
      <c r="F212" s="200">
        <v>44378</v>
      </c>
    </row>
    <row r="213" spans="1:6" s="203" customFormat="1" x14ac:dyDescent="0.3">
      <c r="A213" s="155" t="s">
        <v>162</v>
      </c>
      <c r="B213" s="145" t="s">
        <v>3587</v>
      </c>
      <c r="C213" s="133" t="s">
        <v>162</v>
      </c>
      <c r="D213" s="19" t="s">
        <v>162</v>
      </c>
      <c r="E213" s="145" t="s">
        <v>3593</v>
      </c>
      <c r="F213" s="200">
        <v>44378</v>
      </c>
    </row>
    <row r="214" spans="1:6" s="203" customFormat="1" x14ac:dyDescent="0.3">
      <c r="A214" s="155" t="s">
        <v>162</v>
      </c>
      <c r="B214" s="145" t="s">
        <v>3588</v>
      </c>
      <c r="C214" s="133" t="s">
        <v>162</v>
      </c>
      <c r="D214" s="19" t="s">
        <v>162</v>
      </c>
      <c r="E214" s="145" t="s">
        <v>3593</v>
      </c>
      <c r="F214" s="200">
        <v>44378</v>
      </c>
    </row>
    <row r="215" spans="1:6" s="203" customFormat="1" x14ac:dyDescent="0.3">
      <c r="A215" s="155" t="s">
        <v>162</v>
      </c>
      <c r="B215" s="145" t="s">
        <v>3589</v>
      </c>
      <c r="C215" s="133" t="s">
        <v>162</v>
      </c>
      <c r="D215" s="19" t="s">
        <v>162</v>
      </c>
      <c r="E215" s="145" t="s">
        <v>3593</v>
      </c>
      <c r="F215" s="200">
        <v>44378</v>
      </c>
    </row>
    <row r="216" spans="1:6" s="203" customFormat="1" x14ac:dyDescent="0.3">
      <c r="A216" s="155" t="s">
        <v>162</v>
      </c>
      <c r="B216" s="145" t="s">
        <v>3590</v>
      </c>
      <c r="C216" s="133" t="s">
        <v>162</v>
      </c>
      <c r="D216" s="19" t="s">
        <v>162</v>
      </c>
      <c r="E216" s="145" t="s">
        <v>3593</v>
      </c>
      <c r="F216" s="200">
        <v>44378</v>
      </c>
    </row>
    <row r="217" spans="1:6" s="203" customFormat="1" x14ac:dyDescent="0.3">
      <c r="A217" s="155" t="str">
        <f>"0019442"</f>
        <v>0019442</v>
      </c>
      <c r="B217" s="145" t="s">
        <v>3521</v>
      </c>
      <c r="C217" s="133" t="str">
        <f>"056327017702"</f>
        <v>056327017702</v>
      </c>
      <c r="D217" s="19" t="s">
        <v>29</v>
      </c>
      <c r="E217" s="145" t="s">
        <v>3583</v>
      </c>
      <c r="F217" s="200">
        <v>44375</v>
      </c>
    </row>
    <row r="218" spans="1:6" s="203" customFormat="1" x14ac:dyDescent="0.3">
      <c r="A218" s="155" t="str">
        <f>"0461087"</f>
        <v>0461087</v>
      </c>
      <c r="B218" s="145" t="s">
        <v>274</v>
      </c>
      <c r="C218" s="133" t="str">
        <f>"627005044114"</f>
        <v>627005044114</v>
      </c>
      <c r="D218" s="19" t="s">
        <v>25</v>
      </c>
      <c r="E218" s="145" t="s">
        <v>3367</v>
      </c>
      <c r="F218" s="200">
        <v>44390</v>
      </c>
    </row>
    <row r="219" spans="1:6" s="203" customFormat="1" x14ac:dyDescent="0.3">
      <c r="A219" s="155" t="str">
        <f>"0140509"</f>
        <v>0140509</v>
      </c>
      <c r="B219" s="145" t="s">
        <v>3581</v>
      </c>
      <c r="C219" s="133" t="str">
        <f>"776029701685"</f>
        <v>776029701685</v>
      </c>
      <c r="D219" s="19" t="s">
        <v>98</v>
      </c>
      <c r="E219" s="145" t="s">
        <v>3582</v>
      </c>
      <c r="F219" s="200">
        <v>44390</v>
      </c>
    </row>
    <row r="220" spans="1:6" s="203" customFormat="1" x14ac:dyDescent="0.3">
      <c r="A220" s="155" t="str">
        <f>"0016160"</f>
        <v>0016160</v>
      </c>
      <c r="B220" s="145" t="s">
        <v>3580</v>
      </c>
      <c r="C220" s="133" t="str">
        <f>"056327016415"</f>
        <v>056327016415</v>
      </c>
      <c r="D220" s="19" t="s">
        <v>25</v>
      </c>
      <c r="E220" s="145" t="s">
        <v>3367</v>
      </c>
      <c r="F220" s="200">
        <v>44390</v>
      </c>
    </row>
    <row r="221" spans="1:6" s="203" customFormat="1" x14ac:dyDescent="0.3">
      <c r="A221" s="155" t="str">
        <f>"0013668"</f>
        <v>0013668</v>
      </c>
      <c r="B221" s="145" t="s">
        <v>2760</v>
      </c>
      <c r="C221" s="133" t="str">
        <f>"621433099043"</f>
        <v>621433099043</v>
      </c>
      <c r="D221" s="19" t="s">
        <v>25</v>
      </c>
      <c r="E221" s="145" t="s">
        <v>3367</v>
      </c>
      <c r="F221" s="200">
        <v>44390</v>
      </c>
    </row>
    <row r="222" spans="1:6" s="203" customFormat="1" x14ac:dyDescent="0.3">
      <c r="A222" s="155" t="str">
        <f>"0015880"</f>
        <v>0015880</v>
      </c>
      <c r="B222" s="145" t="s">
        <v>3579</v>
      </c>
      <c r="C222" s="133" t="str">
        <f>"628055731245"</f>
        <v>628055731245</v>
      </c>
      <c r="D222" s="19" t="s">
        <v>25</v>
      </c>
      <c r="E222" s="145" t="s">
        <v>3367</v>
      </c>
      <c r="F222" s="200">
        <v>44383</v>
      </c>
    </row>
    <row r="223" spans="1:6" s="39" customFormat="1" x14ac:dyDescent="0.3">
      <c r="A223" s="174" t="str">
        <f>"0477638"</f>
        <v>0477638</v>
      </c>
      <c r="B223" s="172" t="s">
        <v>3577</v>
      </c>
      <c r="C223" s="159" t="str">
        <f>"064294623604"</f>
        <v>064294623604</v>
      </c>
      <c r="D223" s="157" t="s">
        <v>25</v>
      </c>
      <c r="E223" s="172" t="s">
        <v>3578</v>
      </c>
      <c r="F223" s="200">
        <v>44383</v>
      </c>
    </row>
    <row r="224" spans="1:6" s="39" customFormat="1" x14ac:dyDescent="0.3">
      <c r="A224" s="174" t="str">
        <f>"0492769"</f>
        <v>0492769</v>
      </c>
      <c r="B224" s="172" t="s">
        <v>3575</v>
      </c>
      <c r="C224" s="159" t="str">
        <f>"5411364151119"</f>
        <v>5411364151119</v>
      </c>
      <c r="D224" s="157" t="s">
        <v>2231</v>
      </c>
      <c r="E224" s="172" t="s">
        <v>3576</v>
      </c>
      <c r="F224" s="200">
        <v>44383</v>
      </c>
    </row>
    <row r="225" spans="1:6" s="39" customFormat="1" x14ac:dyDescent="0.3">
      <c r="A225" s="174" t="str">
        <f>"0015398"</f>
        <v>0015398</v>
      </c>
      <c r="B225" s="172" t="s">
        <v>3574</v>
      </c>
      <c r="C225" s="159" t="str">
        <f>"0702915000631"</f>
        <v>0702915000631</v>
      </c>
      <c r="D225" s="157" t="s">
        <v>98</v>
      </c>
      <c r="E225" s="172" t="s">
        <v>3367</v>
      </c>
      <c r="F225" s="200">
        <v>44383</v>
      </c>
    </row>
    <row r="226" spans="1:6" s="39" customFormat="1" x14ac:dyDescent="0.3">
      <c r="A226" s="174" t="str">
        <f>"0618355"</f>
        <v>0618355</v>
      </c>
      <c r="B226" s="172" t="s">
        <v>3573</v>
      </c>
      <c r="C226" s="159" t="str">
        <f>"0702915101017"</f>
        <v>0702915101017</v>
      </c>
      <c r="D226" s="157" t="s">
        <v>25</v>
      </c>
      <c r="E226" s="172" t="s">
        <v>3367</v>
      </c>
      <c r="F226" s="200">
        <v>44363</v>
      </c>
    </row>
    <row r="227" spans="1:6" s="39" customFormat="1" x14ac:dyDescent="0.3">
      <c r="A227" s="174">
        <v>13236</v>
      </c>
      <c r="B227" s="172" t="s">
        <v>3572</v>
      </c>
      <c r="C227" s="159" t="str">
        <f>"776029704723"</f>
        <v>776029704723</v>
      </c>
      <c r="D227" s="157" t="s">
        <v>37</v>
      </c>
      <c r="E227" s="172" t="s">
        <v>3367</v>
      </c>
      <c r="F227" s="200">
        <v>44363</v>
      </c>
    </row>
    <row r="228" spans="1:6" s="39" customFormat="1" x14ac:dyDescent="0.3">
      <c r="A228" s="174">
        <v>16763</v>
      </c>
      <c r="B228" s="172" t="s">
        <v>3571</v>
      </c>
      <c r="C228" s="159" t="str">
        <f>"675325010050"</f>
        <v>675325010050</v>
      </c>
      <c r="D228" s="157" t="s">
        <v>37</v>
      </c>
      <c r="E228" s="172" t="s">
        <v>3367</v>
      </c>
      <c r="F228" s="200">
        <v>44383</v>
      </c>
    </row>
    <row r="229" spans="1:6" s="39" customFormat="1" x14ac:dyDescent="0.3">
      <c r="A229" s="174">
        <v>53827</v>
      </c>
      <c r="B229" s="172" t="s">
        <v>3567</v>
      </c>
      <c r="C229" s="159">
        <v>874537078142</v>
      </c>
      <c r="D229" s="157" t="s">
        <v>202</v>
      </c>
      <c r="E229" s="172" t="s">
        <v>3367</v>
      </c>
      <c r="F229" s="200">
        <v>44383</v>
      </c>
    </row>
    <row r="230" spans="1:6" x14ac:dyDescent="0.3">
      <c r="A230" s="19">
        <v>19725</v>
      </c>
      <c r="B230" s="170" t="s">
        <v>3569</v>
      </c>
      <c r="C230" s="202" t="s">
        <v>3570</v>
      </c>
      <c r="D230" s="157" t="s">
        <v>202</v>
      </c>
      <c r="E230" s="172" t="s">
        <v>3367</v>
      </c>
      <c r="F230" s="200">
        <v>44362</v>
      </c>
    </row>
    <row r="231" spans="1:6" s="39" customFormat="1" ht="27.95" x14ac:dyDescent="0.3">
      <c r="A231" s="174">
        <v>326975</v>
      </c>
      <c r="B231" s="172" t="s">
        <v>3566</v>
      </c>
      <c r="C231" s="159">
        <v>689076790048</v>
      </c>
      <c r="D231" s="157" t="s">
        <v>202</v>
      </c>
      <c r="E231" s="132" t="s">
        <v>3565</v>
      </c>
      <c r="F231" s="200">
        <v>44376</v>
      </c>
    </row>
    <row r="232" spans="1:6" s="39" customFormat="1" x14ac:dyDescent="0.3">
      <c r="A232" s="174">
        <v>543850</v>
      </c>
      <c r="B232" s="172" t="s">
        <v>3568</v>
      </c>
      <c r="C232" s="159">
        <v>3142920004151</v>
      </c>
      <c r="D232" s="157" t="s">
        <v>202</v>
      </c>
      <c r="E232" s="172" t="s">
        <v>3367</v>
      </c>
      <c r="F232" s="200">
        <v>44362</v>
      </c>
    </row>
    <row r="233" spans="1:6" s="39" customFormat="1" x14ac:dyDescent="0.3">
      <c r="A233" s="174">
        <v>489112</v>
      </c>
      <c r="B233" s="172" t="s">
        <v>3564</v>
      </c>
      <c r="C233" s="159">
        <v>9416623430468</v>
      </c>
      <c r="D233" s="157" t="s">
        <v>202</v>
      </c>
      <c r="E233" s="172" t="s">
        <v>3367</v>
      </c>
      <c r="F233" s="200">
        <v>44362</v>
      </c>
    </row>
    <row r="234" spans="1:6" s="39" customFormat="1" x14ac:dyDescent="0.3">
      <c r="A234" s="174" t="str">
        <f>"0450577"</f>
        <v>0450577</v>
      </c>
      <c r="B234" s="172" t="s">
        <v>3561</v>
      </c>
      <c r="C234" s="176" t="str">
        <f>"056327008137"</f>
        <v>056327008137</v>
      </c>
      <c r="D234" s="157" t="s">
        <v>25</v>
      </c>
      <c r="E234" s="172" t="s">
        <v>3367</v>
      </c>
      <c r="F234" s="200">
        <v>44376</v>
      </c>
    </row>
    <row r="235" spans="1:6" s="39" customFormat="1" x14ac:dyDescent="0.3">
      <c r="A235" s="174" t="str">
        <f>"0628156"</f>
        <v>0628156</v>
      </c>
      <c r="B235" s="172" t="s">
        <v>3562</v>
      </c>
      <c r="C235" s="176" t="str">
        <f>"056327012752"</f>
        <v>056327012752</v>
      </c>
      <c r="D235" s="157" t="s">
        <v>34</v>
      </c>
      <c r="E235" s="172" t="s">
        <v>3367</v>
      </c>
      <c r="F235" s="200">
        <v>44376</v>
      </c>
    </row>
    <row r="236" spans="1:6" s="39" customFormat="1" x14ac:dyDescent="0.3">
      <c r="A236" s="174" t="str">
        <f>"0921098"</f>
        <v>0921098</v>
      </c>
      <c r="B236" s="172" t="s">
        <v>3563</v>
      </c>
      <c r="C236" s="176" t="str">
        <f>"056327993235"</f>
        <v>056327993235</v>
      </c>
      <c r="D236" s="157" t="s">
        <v>37</v>
      </c>
      <c r="E236" s="172" t="s">
        <v>3367</v>
      </c>
      <c r="F236" s="200">
        <v>44359</v>
      </c>
    </row>
    <row r="237" spans="1:6" s="39" customFormat="1" x14ac:dyDescent="0.3">
      <c r="A237" s="174" t="str">
        <f>"0018020"</f>
        <v>0018020</v>
      </c>
      <c r="B237" s="172" t="s">
        <v>3560</v>
      </c>
      <c r="C237" s="176" t="str">
        <f>"620707118817"</f>
        <v>620707118817</v>
      </c>
      <c r="D237" s="157" t="s">
        <v>25</v>
      </c>
      <c r="E237" s="172" t="s">
        <v>3367</v>
      </c>
      <c r="F237" s="200">
        <v>44359</v>
      </c>
    </row>
    <row r="238" spans="1:6" s="39" customFormat="1" x14ac:dyDescent="0.3">
      <c r="A238" s="174" t="str">
        <f>"0013643"</f>
        <v>0013643</v>
      </c>
      <c r="B238" s="172" t="s">
        <v>3559</v>
      </c>
      <c r="C238" s="176" t="str">
        <f>"602573898949"</f>
        <v>602573898949</v>
      </c>
      <c r="D238" s="176" t="s">
        <v>25</v>
      </c>
      <c r="E238" s="172" t="s">
        <v>3367</v>
      </c>
      <c r="F238" s="200">
        <v>44376</v>
      </c>
    </row>
    <row r="239" spans="1:6" s="39" customFormat="1" x14ac:dyDescent="0.3">
      <c r="A239" s="174" t="str">
        <f>"0010302"</f>
        <v>0010302</v>
      </c>
      <c r="B239" s="172" t="s">
        <v>3558</v>
      </c>
      <c r="C239" s="176" t="str">
        <f>"013964841756"</f>
        <v>013964841756</v>
      </c>
      <c r="D239" s="176" t="s">
        <v>25</v>
      </c>
      <c r="E239" s="172" t="s">
        <v>3367</v>
      </c>
      <c r="F239" s="200">
        <v>44359</v>
      </c>
    </row>
    <row r="240" spans="1:6" s="39" customFormat="1" x14ac:dyDescent="0.3">
      <c r="A240" s="174" t="str">
        <f>"0573766"</f>
        <v>0573766</v>
      </c>
      <c r="B240" s="172" t="s">
        <v>3557</v>
      </c>
      <c r="C240" s="176" t="str">
        <f>"062067375613"</f>
        <v>062067375613</v>
      </c>
      <c r="D240" s="157" t="s">
        <v>25</v>
      </c>
      <c r="E240" s="172" t="s">
        <v>3367</v>
      </c>
      <c r="F240" s="200">
        <v>44359</v>
      </c>
    </row>
    <row r="241" spans="1:6" s="39" customFormat="1" x14ac:dyDescent="0.3">
      <c r="A241" s="174" t="str">
        <f>"0478438"</f>
        <v>0478438</v>
      </c>
      <c r="B241" s="172" t="s">
        <v>26</v>
      </c>
      <c r="C241" s="176" t="str">
        <f>"062067515033"</f>
        <v>062067515033</v>
      </c>
      <c r="D241" s="157" t="s">
        <v>106</v>
      </c>
      <c r="E241" s="172" t="s">
        <v>3367</v>
      </c>
      <c r="F241" s="200">
        <v>44376</v>
      </c>
    </row>
    <row r="242" spans="1:6" s="39" customFormat="1" x14ac:dyDescent="0.3">
      <c r="A242" s="174" t="str">
        <f>"0422345"</f>
        <v>0422345</v>
      </c>
      <c r="B242" s="172" t="s">
        <v>3555</v>
      </c>
      <c r="C242" s="159" t="str">
        <f>"776029703092"</f>
        <v>776029703092</v>
      </c>
      <c r="D242" s="157" t="s">
        <v>98</v>
      </c>
      <c r="E242" s="132" t="s">
        <v>3556</v>
      </c>
      <c r="F242" s="200">
        <v>44358</v>
      </c>
    </row>
    <row r="243" spans="1:6" s="39" customFormat="1" x14ac:dyDescent="0.3">
      <c r="A243" s="174" t="str">
        <f>"0635078"</f>
        <v>0635078</v>
      </c>
      <c r="B243" s="172" t="s">
        <v>3553</v>
      </c>
      <c r="C243" s="159" t="str">
        <f>"051497021610"</f>
        <v>051497021610</v>
      </c>
      <c r="D243" s="157" t="s">
        <v>25</v>
      </c>
      <c r="E243" s="132" t="s">
        <v>3554</v>
      </c>
      <c r="F243" s="200">
        <v>44376</v>
      </c>
    </row>
    <row r="244" spans="1:6" s="39" customFormat="1" x14ac:dyDescent="0.3">
      <c r="A244" s="174">
        <v>10437</v>
      </c>
      <c r="B244" s="172" t="s">
        <v>3550</v>
      </c>
      <c r="C244" s="176">
        <v>40232298219</v>
      </c>
      <c r="D244" s="157" t="s">
        <v>25</v>
      </c>
      <c r="E244" s="172" t="s">
        <v>3367</v>
      </c>
      <c r="F244" s="200">
        <v>44369</v>
      </c>
    </row>
    <row r="245" spans="1:6" s="39" customFormat="1" x14ac:dyDescent="0.3">
      <c r="A245" s="174">
        <v>16431</v>
      </c>
      <c r="B245" s="172" t="s">
        <v>3551</v>
      </c>
      <c r="C245" s="176">
        <v>51497133122</v>
      </c>
      <c r="D245" s="157" t="s">
        <v>25</v>
      </c>
      <c r="E245" s="172" t="s">
        <v>3367</v>
      </c>
      <c r="F245" s="200">
        <v>44369</v>
      </c>
    </row>
    <row r="246" spans="1:6" s="39" customFormat="1" x14ac:dyDescent="0.3">
      <c r="A246" s="174">
        <v>569004</v>
      </c>
      <c r="B246" s="172" t="s">
        <v>3552</v>
      </c>
      <c r="C246" s="176">
        <v>40232691256</v>
      </c>
      <c r="D246" s="157" t="s">
        <v>25</v>
      </c>
      <c r="E246" s="172" t="s">
        <v>3367</v>
      </c>
      <c r="F246" s="200">
        <v>44369</v>
      </c>
    </row>
    <row r="247" spans="1:6" s="39" customFormat="1" x14ac:dyDescent="0.3">
      <c r="A247" s="174">
        <v>643130</v>
      </c>
      <c r="B247" s="172" t="s">
        <v>2919</v>
      </c>
      <c r="C247" s="176">
        <v>40232298196</v>
      </c>
      <c r="D247" s="157" t="s">
        <v>25</v>
      </c>
      <c r="E247" s="172" t="s">
        <v>3367</v>
      </c>
      <c r="F247" s="200">
        <v>44369</v>
      </c>
    </row>
    <row r="248" spans="1:6" s="39" customFormat="1" x14ac:dyDescent="0.3">
      <c r="A248" s="174" t="str">
        <f>"0019499"</f>
        <v>0019499</v>
      </c>
      <c r="B248" s="172" t="s">
        <v>3549</v>
      </c>
      <c r="C248" s="159" t="str">
        <f>"628055731412"</f>
        <v>628055731412</v>
      </c>
      <c r="D248" s="157" t="s">
        <v>25</v>
      </c>
      <c r="E248" s="172" t="s">
        <v>3367</v>
      </c>
      <c r="F248" s="200">
        <v>44369</v>
      </c>
    </row>
    <row r="249" spans="1:6" s="39" customFormat="1" x14ac:dyDescent="0.3">
      <c r="A249" s="174" t="str">
        <f>"0020983"</f>
        <v>0020983</v>
      </c>
      <c r="B249" s="172" t="s">
        <v>3547</v>
      </c>
      <c r="C249" s="159" t="str">
        <f>"628504386019"</f>
        <v>628504386019</v>
      </c>
      <c r="D249" s="157" t="s">
        <v>25</v>
      </c>
      <c r="E249" s="132" t="s">
        <v>3548</v>
      </c>
      <c r="F249" s="200">
        <v>44356</v>
      </c>
    </row>
    <row r="250" spans="1:6" s="39" customFormat="1" x14ac:dyDescent="0.3">
      <c r="A250" s="174" t="str">
        <f>"0016506"</f>
        <v>0016506</v>
      </c>
      <c r="B250" s="172" t="s">
        <v>3546</v>
      </c>
      <c r="C250" s="159" t="str">
        <f>"672975067540"</f>
        <v>672975067540</v>
      </c>
      <c r="D250" s="157" t="s">
        <v>25</v>
      </c>
      <c r="E250" s="172" t="s">
        <v>3367</v>
      </c>
      <c r="F250" s="200">
        <v>44369</v>
      </c>
    </row>
    <row r="251" spans="1:6" s="39" customFormat="1" ht="27.95" x14ac:dyDescent="0.3">
      <c r="A251" s="174" t="str">
        <f>"0400218"</f>
        <v>0400218</v>
      </c>
      <c r="B251" s="172" t="s">
        <v>2610</v>
      </c>
      <c r="C251" s="159" t="str">
        <f>"9003401750131"</f>
        <v>9003401750131</v>
      </c>
      <c r="D251" s="157" t="s">
        <v>29</v>
      </c>
      <c r="E251" s="132" t="s">
        <v>3545</v>
      </c>
      <c r="F251" s="200">
        <v>44383</v>
      </c>
    </row>
    <row r="252" spans="1:6" s="39" customFormat="1" ht="27.95" x14ac:dyDescent="0.3">
      <c r="A252" s="174" t="str">
        <f>"0020625"</f>
        <v>0020625</v>
      </c>
      <c r="B252" s="172" t="s">
        <v>3543</v>
      </c>
      <c r="C252" s="159" t="str">
        <f>"812339000930"</f>
        <v>812339000930</v>
      </c>
      <c r="D252" s="157" t="s">
        <v>25</v>
      </c>
      <c r="E252" s="132" t="s">
        <v>3544</v>
      </c>
      <c r="F252" s="200">
        <v>44343</v>
      </c>
    </row>
    <row r="253" spans="1:6" s="39" customFormat="1" x14ac:dyDescent="0.3">
      <c r="A253" s="174">
        <v>493981</v>
      </c>
      <c r="B253" s="172" t="s">
        <v>3539</v>
      </c>
      <c r="C253" s="159">
        <v>874537001713</v>
      </c>
      <c r="D253" s="157" t="s">
        <v>202</v>
      </c>
      <c r="E253" s="172" t="s">
        <v>3367</v>
      </c>
      <c r="F253" s="200">
        <v>44362</v>
      </c>
    </row>
    <row r="254" spans="1:6" s="39" customFormat="1" ht="27.95" x14ac:dyDescent="0.3">
      <c r="A254" s="174" t="str">
        <f>"0334052"</f>
        <v>0334052</v>
      </c>
      <c r="B254" s="172" t="s">
        <v>3538</v>
      </c>
      <c r="C254" s="159" t="str">
        <f>"9003402753087"</f>
        <v>9003402753087</v>
      </c>
      <c r="D254" s="157" t="s">
        <v>48</v>
      </c>
      <c r="E254" s="132" t="s">
        <v>3540</v>
      </c>
      <c r="F254" s="200">
        <v>44355</v>
      </c>
    </row>
    <row r="255" spans="1:6" s="39" customFormat="1" ht="27.95" x14ac:dyDescent="0.3">
      <c r="A255" s="174" t="str">
        <f>"0676106"</f>
        <v>0676106</v>
      </c>
      <c r="B255" s="172" t="s">
        <v>3541</v>
      </c>
      <c r="C255" s="159" t="str">
        <f>"9003402750086"</f>
        <v>9003402750086</v>
      </c>
      <c r="D255" s="157" t="s">
        <v>48</v>
      </c>
      <c r="E255" s="132" t="s">
        <v>3542</v>
      </c>
      <c r="F255" s="200">
        <v>44355</v>
      </c>
    </row>
    <row r="256" spans="1:6" s="39" customFormat="1" ht="27.95" x14ac:dyDescent="0.3">
      <c r="A256" s="174" t="str">
        <f>"0017117"</f>
        <v>0017117</v>
      </c>
      <c r="B256" s="172" t="s">
        <v>3536</v>
      </c>
      <c r="C256" s="159" t="str">
        <f>"627987291070"</f>
        <v>627987291070</v>
      </c>
      <c r="D256" s="157" t="s">
        <v>25</v>
      </c>
      <c r="E256" s="132" t="s">
        <v>3537</v>
      </c>
      <c r="F256" s="200">
        <v>44337</v>
      </c>
    </row>
    <row r="257" spans="1:6" s="39" customFormat="1" ht="27.95" x14ac:dyDescent="0.3">
      <c r="A257" s="174" t="str">
        <f>"0012283"</f>
        <v>0012283</v>
      </c>
      <c r="B257" s="172" t="s">
        <v>3321</v>
      </c>
      <c r="C257" s="159" t="str">
        <f>"602573898932"</f>
        <v>602573898932</v>
      </c>
      <c r="D257" s="157" t="s">
        <v>25</v>
      </c>
      <c r="E257" s="132" t="s">
        <v>3535</v>
      </c>
      <c r="F257" s="200">
        <v>44355</v>
      </c>
    </row>
    <row r="258" spans="1:6" s="39" customFormat="1" x14ac:dyDescent="0.3">
      <c r="A258" s="174">
        <v>119016</v>
      </c>
      <c r="B258" s="172" t="s">
        <v>3533</v>
      </c>
      <c r="C258" s="173">
        <v>627843675457</v>
      </c>
      <c r="D258" s="157" t="s">
        <v>48</v>
      </c>
      <c r="E258" s="172" t="s">
        <v>3367</v>
      </c>
      <c r="F258" s="200">
        <v>44335</v>
      </c>
    </row>
    <row r="259" spans="1:6" s="39" customFormat="1" x14ac:dyDescent="0.3">
      <c r="A259" s="174">
        <v>569780</v>
      </c>
      <c r="B259" s="172" t="s">
        <v>3534</v>
      </c>
      <c r="C259" s="173">
        <v>627843675426</v>
      </c>
      <c r="D259" s="157" t="s">
        <v>48</v>
      </c>
      <c r="E259" s="172" t="s">
        <v>3367</v>
      </c>
      <c r="F259" s="200">
        <v>44335</v>
      </c>
    </row>
    <row r="260" spans="1:6" s="39" customFormat="1" x14ac:dyDescent="0.3">
      <c r="A260" s="174" t="str">
        <f>"0014303"</f>
        <v>0014303</v>
      </c>
      <c r="B260" s="172" t="s">
        <v>3532</v>
      </c>
      <c r="C260" s="201" t="str">
        <f>"691245100015"</f>
        <v>691245100015</v>
      </c>
      <c r="D260" s="157" t="s">
        <v>25</v>
      </c>
      <c r="E260" s="172" t="s">
        <v>3367</v>
      </c>
      <c r="F260" s="200">
        <v>44359</v>
      </c>
    </row>
    <row r="261" spans="1:6" s="39" customFormat="1" ht="27.95" x14ac:dyDescent="0.3">
      <c r="A261" s="174" t="str">
        <f>"0477141"</f>
        <v>0477141</v>
      </c>
      <c r="B261" s="172" t="s">
        <v>3530</v>
      </c>
      <c r="C261" s="159" t="str">
        <f>"9003402653684"</f>
        <v>9003402653684</v>
      </c>
      <c r="D261" s="157" t="s">
        <v>29</v>
      </c>
      <c r="E261" s="132" t="s">
        <v>3531</v>
      </c>
      <c r="F261" s="200">
        <v>44348</v>
      </c>
    </row>
    <row r="262" spans="1:6" s="39" customFormat="1" x14ac:dyDescent="0.3">
      <c r="A262" s="174">
        <v>27854</v>
      </c>
      <c r="B262" s="172" t="s">
        <v>2796</v>
      </c>
      <c r="C262" s="159">
        <v>8002062013303</v>
      </c>
      <c r="D262" s="157" t="s">
        <v>496</v>
      </c>
      <c r="E262" s="184" t="s">
        <v>3529</v>
      </c>
      <c r="F262" s="200">
        <v>44348</v>
      </c>
    </row>
    <row r="263" spans="1:6" s="39" customFormat="1" x14ac:dyDescent="0.3">
      <c r="A263" s="174">
        <v>285585</v>
      </c>
      <c r="B263" s="172" t="s">
        <v>3527</v>
      </c>
      <c r="C263" s="159">
        <v>8002062000037</v>
      </c>
      <c r="D263" s="157" t="s">
        <v>202</v>
      </c>
      <c r="E263" s="184" t="s">
        <v>3528</v>
      </c>
      <c r="F263" s="200">
        <v>44348</v>
      </c>
    </row>
    <row r="264" spans="1:6" s="39" customFormat="1" x14ac:dyDescent="0.3">
      <c r="A264" s="174">
        <v>620062</v>
      </c>
      <c r="B264" s="172" t="s">
        <v>3525</v>
      </c>
      <c r="C264" s="201" t="s">
        <v>3526</v>
      </c>
      <c r="D264" s="157" t="s">
        <v>202</v>
      </c>
      <c r="E264" s="172" t="s">
        <v>3367</v>
      </c>
      <c r="F264" s="200">
        <v>44348</v>
      </c>
    </row>
    <row r="265" spans="1:6" s="39" customFormat="1" ht="27.95" x14ac:dyDescent="0.3">
      <c r="A265" s="174">
        <v>369652</v>
      </c>
      <c r="B265" s="172" t="s">
        <v>3523</v>
      </c>
      <c r="C265" s="159">
        <v>874537172130</v>
      </c>
      <c r="D265" s="157" t="s">
        <v>202</v>
      </c>
      <c r="E265" s="132" t="s">
        <v>3524</v>
      </c>
      <c r="F265" s="200">
        <v>44334</v>
      </c>
    </row>
    <row r="266" spans="1:6" s="39" customFormat="1" x14ac:dyDescent="0.3">
      <c r="A266" s="174">
        <v>424630</v>
      </c>
      <c r="B266" s="172" t="s">
        <v>3522</v>
      </c>
      <c r="C266" s="159">
        <v>9414416304729</v>
      </c>
      <c r="D266" s="157" t="s">
        <v>137</v>
      </c>
      <c r="E266" s="172" t="s">
        <v>3367</v>
      </c>
      <c r="F266" s="200">
        <v>44348</v>
      </c>
    </row>
    <row r="267" spans="1:6" s="39" customFormat="1" x14ac:dyDescent="0.3">
      <c r="A267" s="174" t="str">
        <f>"0019442"</f>
        <v>0019442</v>
      </c>
      <c r="B267" s="172" t="s">
        <v>3521</v>
      </c>
      <c r="C267" s="176" t="str">
        <f>"056327017702"</f>
        <v>056327017702</v>
      </c>
      <c r="D267" s="157" t="s">
        <v>29</v>
      </c>
      <c r="E267" s="172" t="s">
        <v>3491</v>
      </c>
      <c r="F267" s="200">
        <v>44334</v>
      </c>
    </row>
    <row r="268" spans="1:6" s="39" customFormat="1" x14ac:dyDescent="0.3">
      <c r="A268" s="174" t="str">
        <f>"0011918"</f>
        <v>0011918</v>
      </c>
      <c r="B268" s="172" t="s">
        <v>3519</v>
      </c>
      <c r="C268" s="176" t="str">
        <f>"628679911061"</f>
        <v>628679911061</v>
      </c>
      <c r="D268" s="157" t="s">
        <v>25</v>
      </c>
      <c r="E268" s="172" t="s">
        <v>3367</v>
      </c>
      <c r="F268" s="200">
        <v>44348</v>
      </c>
    </row>
    <row r="269" spans="1:6" s="39" customFormat="1" x14ac:dyDescent="0.3">
      <c r="A269" s="174" t="str">
        <f>"0017859"</f>
        <v>0017859</v>
      </c>
      <c r="B269" s="172" t="s">
        <v>3520</v>
      </c>
      <c r="C269" s="176" t="str">
        <f>"628679911375"</f>
        <v>628679911375</v>
      </c>
      <c r="D269" s="157" t="s">
        <v>449</v>
      </c>
      <c r="E269" s="172" t="s">
        <v>3367</v>
      </c>
      <c r="F269" s="200">
        <v>44330</v>
      </c>
    </row>
    <row r="270" spans="1:6" s="39" customFormat="1" x14ac:dyDescent="0.3">
      <c r="A270" s="174" t="str">
        <f>"0517797"</f>
        <v>0517797</v>
      </c>
      <c r="B270" s="172" t="s">
        <v>3518</v>
      </c>
      <c r="C270" s="176" t="str">
        <f>"602573184196"</f>
        <v>602573184196</v>
      </c>
      <c r="D270" s="157" t="s">
        <v>555</v>
      </c>
      <c r="E270" s="172" t="s">
        <v>3367</v>
      </c>
      <c r="F270" s="200">
        <v>44348</v>
      </c>
    </row>
    <row r="271" spans="1:6" s="39" customFormat="1" x14ac:dyDescent="0.3">
      <c r="A271" s="174" t="str">
        <f>"0014740"</f>
        <v>0014740</v>
      </c>
      <c r="B271" s="172" t="s">
        <v>3517</v>
      </c>
      <c r="C271" s="176" t="str">
        <f>"672975229986"</f>
        <v>672975229986</v>
      </c>
      <c r="D271" s="157" t="s">
        <v>25</v>
      </c>
      <c r="E271" s="172" t="s">
        <v>3367</v>
      </c>
      <c r="F271" s="200">
        <v>44348</v>
      </c>
    </row>
    <row r="272" spans="1:6" s="39" customFormat="1" x14ac:dyDescent="0.3">
      <c r="A272" s="174">
        <v>489278</v>
      </c>
      <c r="B272" s="172" t="s">
        <v>3515</v>
      </c>
      <c r="C272" s="176">
        <v>98652355029</v>
      </c>
      <c r="D272" s="157" t="s">
        <v>202</v>
      </c>
      <c r="E272" s="172" t="s">
        <v>3367</v>
      </c>
      <c r="F272" s="200">
        <v>44327</v>
      </c>
    </row>
    <row r="273" spans="1:6" s="39" customFormat="1" x14ac:dyDescent="0.3">
      <c r="A273" s="174">
        <v>15752</v>
      </c>
      <c r="B273" s="172" t="s">
        <v>3516</v>
      </c>
      <c r="C273" s="176">
        <v>98652840006</v>
      </c>
      <c r="D273" s="157" t="s">
        <v>202</v>
      </c>
      <c r="E273" s="172" t="s">
        <v>3367</v>
      </c>
      <c r="F273" s="200">
        <v>44327</v>
      </c>
    </row>
    <row r="274" spans="1:6" s="39" customFormat="1" x14ac:dyDescent="0.3">
      <c r="A274" s="174">
        <v>387167</v>
      </c>
      <c r="B274" s="172" t="s">
        <v>3513</v>
      </c>
      <c r="C274" s="176">
        <v>48162014367</v>
      </c>
      <c r="D274" s="157" t="s">
        <v>202</v>
      </c>
      <c r="E274" s="172" t="s">
        <v>3367</v>
      </c>
      <c r="F274" s="200">
        <v>44334</v>
      </c>
    </row>
    <row r="275" spans="1:6" s="39" customFormat="1" ht="27.95" x14ac:dyDescent="0.3">
      <c r="A275" s="174">
        <v>370361</v>
      </c>
      <c r="B275" s="172" t="s">
        <v>3514</v>
      </c>
      <c r="C275" s="159">
        <v>670459011300</v>
      </c>
      <c r="D275" s="157" t="s">
        <v>202</v>
      </c>
      <c r="E275" s="132" t="s">
        <v>3512</v>
      </c>
      <c r="F275" s="200">
        <v>44334</v>
      </c>
    </row>
    <row r="276" spans="1:6" s="39" customFormat="1" x14ac:dyDescent="0.3">
      <c r="A276" s="174">
        <v>43588</v>
      </c>
      <c r="B276" s="172" t="s">
        <v>3508</v>
      </c>
      <c r="C276" s="159">
        <v>8000160630309</v>
      </c>
      <c r="D276" s="157" t="s">
        <v>202</v>
      </c>
      <c r="E276" s="172" t="s">
        <v>3511</v>
      </c>
      <c r="F276" s="180">
        <v>44334</v>
      </c>
    </row>
    <row r="277" spans="1:6" s="39" customFormat="1" x14ac:dyDescent="0.3">
      <c r="A277" s="174">
        <v>298505</v>
      </c>
      <c r="B277" s="172" t="s">
        <v>3509</v>
      </c>
      <c r="C277" s="159">
        <v>631470000049</v>
      </c>
      <c r="D277" s="157" t="s">
        <v>202</v>
      </c>
      <c r="E277" s="172" t="s">
        <v>3511</v>
      </c>
      <c r="F277" s="180">
        <v>44334</v>
      </c>
    </row>
    <row r="278" spans="1:6" s="39" customFormat="1" x14ac:dyDescent="0.3">
      <c r="A278" s="174">
        <v>492355</v>
      </c>
      <c r="B278" s="172" t="s">
        <v>3510</v>
      </c>
      <c r="C278" s="159">
        <v>876584002118</v>
      </c>
      <c r="D278" s="157" t="s">
        <v>455</v>
      </c>
      <c r="E278" s="172" t="s">
        <v>3511</v>
      </c>
      <c r="F278" s="180">
        <v>44327</v>
      </c>
    </row>
    <row r="279" spans="1:6" s="39" customFormat="1" x14ac:dyDescent="0.3">
      <c r="A279" s="174" t="str">
        <f>"0118968"</f>
        <v>0118968</v>
      </c>
      <c r="B279" s="172" t="s">
        <v>3507</v>
      </c>
      <c r="C279" s="176" t="str">
        <f>"628055731184"</f>
        <v>628055731184</v>
      </c>
      <c r="D279" s="157" t="s">
        <v>25</v>
      </c>
      <c r="E279" s="172" t="s">
        <v>3367</v>
      </c>
      <c r="F279" s="180">
        <v>44342</v>
      </c>
    </row>
    <row r="280" spans="1:6" s="142" customFormat="1" ht="27.95" x14ac:dyDescent="0.3">
      <c r="A280" s="140" t="str">
        <f>"0014996"</f>
        <v>0014996</v>
      </c>
      <c r="B280" s="141" t="s">
        <v>3505</v>
      </c>
      <c r="C280" s="117" t="str">
        <f>"8714800024778"</f>
        <v>8714800024778</v>
      </c>
      <c r="D280" s="133" t="s">
        <v>127</v>
      </c>
      <c r="E280" s="132" t="s">
        <v>3506</v>
      </c>
      <c r="F280" s="171">
        <v>44342</v>
      </c>
    </row>
    <row r="281" spans="1:6" s="39" customFormat="1" x14ac:dyDescent="0.3">
      <c r="A281" s="174">
        <v>489575</v>
      </c>
      <c r="B281" s="172" t="s">
        <v>3501</v>
      </c>
      <c r="C281" s="176">
        <v>64294674101</v>
      </c>
      <c r="D281" s="157" t="s">
        <v>25</v>
      </c>
      <c r="E281" s="172" t="s">
        <v>3503</v>
      </c>
      <c r="F281" s="180">
        <v>44342</v>
      </c>
    </row>
    <row r="282" spans="1:6" s="39" customFormat="1" x14ac:dyDescent="0.3">
      <c r="A282" s="174">
        <v>648683</v>
      </c>
      <c r="B282" s="172" t="s">
        <v>3502</v>
      </c>
      <c r="C282" s="176">
        <v>64294757309</v>
      </c>
      <c r="D282" s="157" t="s">
        <v>25</v>
      </c>
      <c r="E282" s="172" t="s">
        <v>3504</v>
      </c>
      <c r="F282" s="180">
        <v>44342</v>
      </c>
    </row>
    <row r="283" spans="1:6" s="39" customFormat="1" x14ac:dyDescent="0.3">
      <c r="A283" s="174">
        <v>15441</v>
      </c>
      <c r="B283" s="172" t="s">
        <v>3155</v>
      </c>
      <c r="C283" s="159">
        <v>186360010139</v>
      </c>
      <c r="D283" s="157" t="s">
        <v>1620</v>
      </c>
      <c r="E283" s="172" t="s">
        <v>3367</v>
      </c>
      <c r="F283" s="180">
        <v>44342</v>
      </c>
    </row>
    <row r="284" spans="1:6" s="39" customFormat="1" x14ac:dyDescent="0.3">
      <c r="A284" s="174">
        <v>17261</v>
      </c>
      <c r="B284" s="172" t="s">
        <v>3489</v>
      </c>
      <c r="C284" s="159">
        <v>186360050869</v>
      </c>
      <c r="D284" s="157" t="s">
        <v>25</v>
      </c>
      <c r="E284" s="172" t="s">
        <v>3367</v>
      </c>
      <c r="F284" s="180">
        <v>44342</v>
      </c>
    </row>
    <row r="285" spans="1:6" s="39" customFormat="1" x14ac:dyDescent="0.3">
      <c r="A285" s="174">
        <v>17945</v>
      </c>
      <c r="B285" s="172" t="s">
        <v>3499</v>
      </c>
      <c r="C285" s="159">
        <v>186360051040</v>
      </c>
      <c r="D285" s="157" t="s">
        <v>25</v>
      </c>
      <c r="E285" s="172" t="s">
        <v>3367</v>
      </c>
      <c r="F285" s="180">
        <v>44342</v>
      </c>
    </row>
    <row r="286" spans="1:6" s="39" customFormat="1" x14ac:dyDescent="0.3">
      <c r="A286" s="174">
        <v>442319</v>
      </c>
      <c r="B286" s="172" t="s">
        <v>3500</v>
      </c>
      <c r="C286" s="159">
        <v>186360000390</v>
      </c>
      <c r="D286" s="157" t="s">
        <v>25</v>
      </c>
      <c r="E286" s="172" t="s">
        <v>3367</v>
      </c>
      <c r="F286" s="180">
        <v>44342</v>
      </c>
    </row>
    <row r="287" spans="1:6" s="142" customFormat="1" ht="27.95" x14ac:dyDescent="0.3">
      <c r="A287" s="140">
        <v>493981</v>
      </c>
      <c r="B287" s="141" t="s">
        <v>2823</v>
      </c>
      <c r="C287" s="117">
        <v>874537453147</v>
      </c>
      <c r="D287" s="133" t="s">
        <v>202</v>
      </c>
      <c r="E287" s="132" t="s">
        <v>2824</v>
      </c>
      <c r="F287" s="171">
        <v>44334</v>
      </c>
    </row>
    <row r="288" spans="1:6" s="39" customFormat="1" x14ac:dyDescent="0.3">
      <c r="A288" s="174">
        <v>17523</v>
      </c>
      <c r="B288" s="199" t="s">
        <v>3498</v>
      </c>
      <c r="C288" s="159">
        <v>699187005276</v>
      </c>
      <c r="D288" s="157" t="s">
        <v>202</v>
      </c>
      <c r="E288" s="172" t="s">
        <v>3367</v>
      </c>
      <c r="F288" s="180">
        <v>44320</v>
      </c>
    </row>
    <row r="289" spans="1:6" s="39" customFormat="1" x14ac:dyDescent="0.3">
      <c r="A289" s="174" t="str">
        <f>"0332627"</f>
        <v>0332627</v>
      </c>
      <c r="B289" s="172" t="s">
        <v>3497</v>
      </c>
      <c r="C289" s="159" t="str">
        <f>"5741000127452"</f>
        <v>5741000127452</v>
      </c>
      <c r="D289" s="157" t="s">
        <v>2231</v>
      </c>
      <c r="E289" s="172" t="s">
        <v>3367</v>
      </c>
      <c r="F289" s="180">
        <v>44342</v>
      </c>
    </row>
    <row r="290" spans="1:6" s="39" customFormat="1" ht="14.1" customHeight="1" x14ac:dyDescent="0.3">
      <c r="A290" s="174" t="str">
        <f>"0011562"</f>
        <v>0011562</v>
      </c>
      <c r="B290" s="172" t="s">
        <v>2507</v>
      </c>
      <c r="C290" s="159" t="str">
        <f>"627987151299"</f>
        <v>627987151299</v>
      </c>
      <c r="D290" s="157" t="s">
        <v>25</v>
      </c>
      <c r="E290" s="172" t="s">
        <v>3496</v>
      </c>
      <c r="F290" s="180">
        <v>44334</v>
      </c>
    </row>
    <row r="291" spans="1:6" s="39" customFormat="1" x14ac:dyDescent="0.3">
      <c r="A291" s="174" t="str">
        <f>"0019584"</f>
        <v>0019584</v>
      </c>
      <c r="B291" s="172" t="s">
        <v>3494</v>
      </c>
      <c r="C291" s="159" t="str">
        <f>"627005213015"</f>
        <v>627005213015</v>
      </c>
      <c r="D291" s="157" t="s">
        <v>37</v>
      </c>
      <c r="E291" s="172" t="s">
        <v>3495</v>
      </c>
      <c r="F291" s="180">
        <v>44334</v>
      </c>
    </row>
    <row r="292" spans="1:6" s="39" customFormat="1" x14ac:dyDescent="0.3">
      <c r="A292" s="174">
        <v>109991</v>
      </c>
      <c r="B292" s="172" t="s">
        <v>3493</v>
      </c>
      <c r="C292" s="159">
        <v>777081715221</v>
      </c>
      <c r="D292" s="157" t="s">
        <v>202</v>
      </c>
      <c r="E292" s="172" t="s">
        <v>3367</v>
      </c>
      <c r="F292" s="180">
        <v>44334</v>
      </c>
    </row>
    <row r="293" spans="1:6" s="39" customFormat="1" x14ac:dyDescent="0.3">
      <c r="A293" s="174">
        <v>125278</v>
      </c>
      <c r="B293" s="172" t="s">
        <v>3492</v>
      </c>
      <c r="C293" s="159">
        <v>624654010699</v>
      </c>
      <c r="D293" s="157" t="s">
        <v>202</v>
      </c>
      <c r="E293" s="172" t="s">
        <v>3367</v>
      </c>
      <c r="F293" s="180">
        <v>44320</v>
      </c>
    </row>
    <row r="294" spans="1:6" s="39" customFormat="1" x14ac:dyDescent="0.3">
      <c r="A294" s="174">
        <v>60715</v>
      </c>
      <c r="B294" s="172" t="s">
        <v>3490</v>
      </c>
      <c r="C294" s="159">
        <v>89819038428</v>
      </c>
      <c r="D294" s="157" t="s">
        <v>2551</v>
      </c>
      <c r="E294" s="172" t="s">
        <v>3491</v>
      </c>
      <c r="F294" s="180">
        <v>44327</v>
      </c>
    </row>
    <row r="295" spans="1:6" s="39" customFormat="1" x14ac:dyDescent="0.3">
      <c r="A295" s="174" t="str">
        <f>"0017261"</f>
        <v>0017261</v>
      </c>
      <c r="B295" s="172" t="s">
        <v>3489</v>
      </c>
      <c r="C295" s="159" t="str">
        <f>"186360050869"</f>
        <v>186360050869</v>
      </c>
      <c r="D295" s="157" t="s">
        <v>25</v>
      </c>
      <c r="E295" s="172" t="s">
        <v>3367</v>
      </c>
      <c r="F295" s="180">
        <v>44334</v>
      </c>
    </row>
    <row r="296" spans="1:6" s="39" customFormat="1" x14ac:dyDescent="0.3">
      <c r="A296" s="174" t="str">
        <f>"0019015"</f>
        <v>0019015</v>
      </c>
      <c r="B296" s="172" t="s">
        <v>3488</v>
      </c>
      <c r="C296" s="159" t="str">
        <f>"628669092718"</f>
        <v>628669092718</v>
      </c>
      <c r="D296" s="157" t="s">
        <v>25</v>
      </c>
      <c r="E296" s="172" t="s">
        <v>3367</v>
      </c>
      <c r="F296" s="180">
        <v>44334</v>
      </c>
    </row>
    <row r="297" spans="1:6" s="39" customFormat="1" x14ac:dyDescent="0.3">
      <c r="A297" s="174" t="str">
        <f>"0012284"</f>
        <v>0012284</v>
      </c>
      <c r="B297" s="172" t="s">
        <v>3487</v>
      </c>
      <c r="C297" s="159" t="str">
        <f>"602573829615"</f>
        <v>602573829615</v>
      </c>
      <c r="D297" s="157" t="s">
        <v>25</v>
      </c>
      <c r="E297" s="172" t="s">
        <v>3367</v>
      </c>
      <c r="F297" s="180">
        <v>44334</v>
      </c>
    </row>
    <row r="298" spans="1:6" s="39" customFormat="1" x14ac:dyDescent="0.3">
      <c r="A298" s="174" t="str">
        <f>"0019891"</f>
        <v>0019891</v>
      </c>
      <c r="B298" s="172" t="s">
        <v>3486</v>
      </c>
      <c r="C298" s="159" t="str">
        <f>"051497235574"</f>
        <v>051497235574</v>
      </c>
      <c r="D298" s="157" t="s">
        <v>1620</v>
      </c>
      <c r="E298" s="172" t="s">
        <v>3367</v>
      </c>
      <c r="F298" s="180">
        <v>44316</v>
      </c>
    </row>
    <row r="299" spans="1:6" s="39" customFormat="1" x14ac:dyDescent="0.3">
      <c r="A299" s="174" t="str">
        <f>"0609248"</f>
        <v>0609248</v>
      </c>
      <c r="B299" s="172" t="s">
        <v>283</v>
      </c>
      <c r="C299" s="159" t="str">
        <f>"776029703191"</f>
        <v>776029703191</v>
      </c>
      <c r="D299" s="157" t="s">
        <v>25</v>
      </c>
      <c r="E299" s="132" t="s">
        <v>3485</v>
      </c>
      <c r="F299" s="178">
        <v>44334</v>
      </c>
    </row>
    <row r="300" spans="1:6" s="39" customFormat="1" x14ac:dyDescent="0.3">
      <c r="A300" s="174" t="str">
        <f>"0018310"</f>
        <v>0018310</v>
      </c>
      <c r="B300" s="172" t="s">
        <v>3483</v>
      </c>
      <c r="C300" s="159" t="str">
        <f>"621433078048"</f>
        <v>621433078048</v>
      </c>
      <c r="D300" s="157" t="s">
        <v>25</v>
      </c>
      <c r="E300" s="172" t="s">
        <v>3367</v>
      </c>
      <c r="F300" s="180">
        <v>44314</v>
      </c>
    </row>
    <row r="301" spans="1:6" s="39" customFormat="1" x14ac:dyDescent="0.3">
      <c r="A301" s="174" t="str">
        <f>"0018311"</f>
        <v>0018311</v>
      </c>
      <c r="B301" s="172" t="s">
        <v>3484</v>
      </c>
      <c r="C301" s="159" t="str">
        <f>"621433079045"</f>
        <v>621433079045</v>
      </c>
      <c r="D301" s="157" t="s">
        <v>25</v>
      </c>
      <c r="E301" s="172" t="s">
        <v>3367</v>
      </c>
      <c r="F301" s="180">
        <v>44314</v>
      </c>
    </row>
    <row r="302" spans="1:6" s="39" customFormat="1" x14ac:dyDescent="0.3">
      <c r="A302" s="174" t="str">
        <f>"0484972"</f>
        <v>0484972</v>
      </c>
      <c r="B302" s="172" t="s">
        <v>699</v>
      </c>
      <c r="C302" s="159" t="str">
        <f>"628669012020"</f>
        <v>628669012020</v>
      </c>
      <c r="D302" s="157" t="s">
        <v>25</v>
      </c>
      <c r="E302" s="172" t="s">
        <v>3367</v>
      </c>
      <c r="F302" s="180">
        <v>44327</v>
      </c>
    </row>
    <row r="303" spans="1:6" s="35" customFormat="1" ht="29.7" customHeight="1" x14ac:dyDescent="0.3">
      <c r="A303" s="33" t="str">
        <f>"0169334"</f>
        <v>0169334</v>
      </c>
      <c r="B303" s="119" t="s">
        <v>2398</v>
      </c>
      <c r="C303" s="117" t="str">
        <f>"837654777992"</f>
        <v>837654777992</v>
      </c>
      <c r="D303" s="100" t="s">
        <v>1013</v>
      </c>
      <c r="E303" s="132" t="s">
        <v>3480</v>
      </c>
      <c r="F303" s="180">
        <v>44327</v>
      </c>
    </row>
    <row r="304" spans="1:6" s="35" customFormat="1" ht="29.7" customHeight="1" x14ac:dyDescent="0.3">
      <c r="A304" s="33" t="str">
        <f>"0576926"</f>
        <v>0576926</v>
      </c>
      <c r="B304" s="119" t="s">
        <v>3479</v>
      </c>
      <c r="C304" s="117" t="str">
        <f>"602573395240"</f>
        <v>602573395240</v>
      </c>
      <c r="D304" s="100" t="s">
        <v>25</v>
      </c>
      <c r="E304" s="132" t="s">
        <v>3481</v>
      </c>
      <c r="F304" s="180">
        <v>44327</v>
      </c>
    </row>
    <row r="305" spans="1:6" s="35" customFormat="1" ht="29.7" customHeight="1" x14ac:dyDescent="0.3">
      <c r="A305" s="33" t="str">
        <f>"0647859"</f>
        <v>0647859</v>
      </c>
      <c r="B305" s="119" t="s">
        <v>2401</v>
      </c>
      <c r="C305" s="117" t="str">
        <f>"602573395455"</f>
        <v>602573395455</v>
      </c>
      <c r="D305" s="100" t="s">
        <v>98</v>
      </c>
      <c r="E305" s="132" t="s">
        <v>3482</v>
      </c>
      <c r="F305" s="180">
        <v>44327</v>
      </c>
    </row>
    <row r="306" spans="1:6" s="39" customFormat="1" x14ac:dyDescent="0.3">
      <c r="A306" s="174" t="str">
        <f>"0450320"</f>
        <v>0450320</v>
      </c>
      <c r="B306" s="172" t="s">
        <v>3478</v>
      </c>
      <c r="C306" s="159" t="str">
        <f>"186360000147"</f>
        <v>186360000147</v>
      </c>
      <c r="D306" s="157" t="s">
        <v>25</v>
      </c>
      <c r="E306" s="172" t="s">
        <v>3367</v>
      </c>
      <c r="F306" s="180">
        <v>44327</v>
      </c>
    </row>
    <row r="307" spans="1:6" s="39" customFormat="1" x14ac:dyDescent="0.3">
      <c r="A307" s="174">
        <v>285270</v>
      </c>
      <c r="B307" s="172" t="s">
        <v>3475</v>
      </c>
      <c r="C307" s="159">
        <v>830803001214</v>
      </c>
      <c r="D307" s="157" t="s">
        <v>25</v>
      </c>
      <c r="E307" s="172" t="s">
        <v>3477</v>
      </c>
      <c r="F307" s="180">
        <v>44327</v>
      </c>
    </row>
    <row r="308" spans="1:6" s="39" customFormat="1" x14ac:dyDescent="0.3">
      <c r="A308" s="174" t="str">
        <f>"0514729"</f>
        <v>0514729</v>
      </c>
      <c r="B308" s="172" t="s">
        <v>3476</v>
      </c>
      <c r="C308" s="159" t="str">
        <f>"830803000095"</f>
        <v>830803000095</v>
      </c>
      <c r="D308" s="157" t="s">
        <v>25</v>
      </c>
      <c r="E308" s="172" t="s">
        <v>3477</v>
      </c>
      <c r="F308" s="180">
        <v>44327</v>
      </c>
    </row>
    <row r="309" spans="1:6" s="35" customFormat="1" ht="29.95" customHeight="1" x14ac:dyDescent="0.3">
      <c r="A309" s="33">
        <v>307686</v>
      </c>
      <c r="B309" s="119" t="s">
        <v>2793</v>
      </c>
      <c r="C309" s="117">
        <v>670459010181</v>
      </c>
      <c r="D309" s="100" t="s">
        <v>202</v>
      </c>
      <c r="E309" s="132" t="s">
        <v>3469</v>
      </c>
      <c r="F309" s="180">
        <v>44320</v>
      </c>
    </row>
    <row r="310" spans="1:6" s="39" customFormat="1" ht="27.95" x14ac:dyDescent="0.3">
      <c r="A310" s="174">
        <v>89037</v>
      </c>
      <c r="B310" s="172" t="s">
        <v>3191</v>
      </c>
      <c r="C310" s="159">
        <v>670459011294</v>
      </c>
      <c r="D310" s="157" t="s">
        <v>202</v>
      </c>
      <c r="E310" s="132" t="s">
        <v>3470</v>
      </c>
      <c r="F310" s="178">
        <v>44306</v>
      </c>
    </row>
    <row r="311" spans="1:6" s="39" customFormat="1" x14ac:dyDescent="0.3">
      <c r="A311" s="174">
        <v>647099</v>
      </c>
      <c r="B311" s="172" t="s">
        <v>3474</v>
      </c>
      <c r="C311" s="159">
        <v>3176780037547</v>
      </c>
      <c r="D311" s="157" t="s">
        <v>202</v>
      </c>
      <c r="E311" s="172" t="s">
        <v>3367</v>
      </c>
      <c r="F311" s="180">
        <v>44320</v>
      </c>
    </row>
    <row r="312" spans="1:6" s="39" customFormat="1" x14ac:dyDescent="0.3">
      <c r="A312" s="174">
        <v>361691</v>
      </c>
      <c r="B312" s="145" t="s">
        <v>3473</v>
      </c>
      <c r="C312" s="159">
        <v>851786000254</v>
      </c>
      <c r="D312" s="157" t="s">
        <v>202</v>
      </c>
      <c r="E312" s="172" t="s">
        <v>3367</v>
      </c>
      <c r="F312" s="180">
        <v>44306</v>
      </c>
    </row>
    <row r="313" spans="1:6" s="39" customFormat="1" x14ac:dyDescent="0.3">
      <c r="A313" s="174">
        <v>582783</v>
      </c>
      <c r="B313" s="145" t="s">
        <v>3472</v>
      </c>
      <c r="C313" s="159">
        <v>3760040426020</v>
      </c>
      <c r="D313" s="157" t="s">
        <v>202</v>
      </c>
      <c r="E313" s="172" t="s">
        <v>3367</v>
      </c>
      <c r="F313" s="180">
        <v>44306</v>
      </c>
    </row>
    <row r="314" spans="1:6" s="35" customFormat="1" ht="14.65" customHeight="1" x14ac:dyDescent="0.3">
      <c r="A314" s="33">
        <v>17522</v>
      </c>
      <c r="B314" s="119" t="s">
        <v>3471</v>
      </c>
      <c r="C314" s="117">
        <v>699187005283</v>
      </c>
      <c r="D314" s="100" t="s">
        <v>202</v>
      </c>
      <c r="E314" s="172" t="s">
        <v>3367</v>
      </c>
      <c r="F314" s="180">
        <v>44306</v>
      </c>
    </row>
    <row r="315" spans="1:6" s="35" customFormat="1" ht="29.7" customHeight="1" x14ac:dyDescent="0.3">
      <c r="A315" s="33" t="str">
        <f>"0017783"</f>
        <v>0017783</v>
      </c>
      <c r="B315" s="119" t="s">
        <v>3467</v>
      </c>
      <c r="C315" s="120" t="str">
        <f>"812339000893"</f>
        <v>812339000893</v>
      </c>
      <c r="D315" s="33" t="s">
        <v>25</v>
      </c>
      <c r="E315" s="172" t="s">
        <v>3468</v>
      </c>
      <c r="F315" s="180">
        <v>44307</v>
      </c>
    </row>
    <row r="316" spans="1:6" s="35" customFormat="1" ht="29.7" customHeight="1" x14ac:dyDescent="0.3">
      <c r="A316" s="33">
        <v>10527</v>
      </c>
      <c r="B316" s="119" t="s">
        <v>3465</v>
      </c>
      <c r="C316" s="117">
        <v>628250062113</v>
      </c>
      <c r="D316" s="33" t="s">
        <v>202</v>
      </c>
      <c r="E316" s="184" t="s">
        <v>3466</v>
      </c>
      <c r="F316" s="180">
        <v>44320</v>
      </c>
    </row>
    <row r="317" spans="1:6" s="35" customFormat="1" ht="29.7" customHeight="1" x14ac:dyDescent="0.3">
      <c r="A317" s="33">
        <v>583047</v>
      </c>
      <c r="B317" s="119" t="s">
        <v>3462</v>
      </c>
      <c r="C317" s="120" t="s">
        <v>3463</v>
      </c>
      <c r="D317" s="33" t="s">
        <v>202</v>
      </c>
      <c r="E317" s="170" t="s">
        <v>3464</v>
      </c>
      <c r="F317" s="180">
        <v>44306</v>
      </c>
    </row>
    <row r="318" spans="1:6" s="181" customFormat="1" ht="27.95" x14ac:dyDescent="0.3">
      <c r="A318" s="195" t="str">
        <f>"0010241"</f>
        <v>0010241</v>
      </c>
      <c r="B318" s="194" t="s">
        <v>2395</v>
      </c>
      <c r="C318" s="122" t="str">
        <f>"602573829646"</f>
        <v>602573829646</v>
      </c>
      <c r="D318" s="157" t="s">
        <v>25</v>
      </c>
      <c r="E318" s="184" t="s">
        <v>3461</v>
      </c>
      <c r="F318" s="180">
        <v>44320</v>
      </c>
    </row>
    <row r="319" spans="1:6" s="181" customFormat="1" ht="27.95" x14ac:dyDescent="0.3">
      <c r="A319" s="195" t="str">
        <f>"0440941"</f>
        <v>0440941</v>
      </c>
      <c r="B319" s="194" t="s">
        <v>3460</v>
      </c>
      <c r="C319" s="122" t="str">
        <f>"040232313622"</f>
        <v>040232313622</v>
      </c>
      <c r="D319" s="157" t="s">
        <v>25</v>
      </c>
      <c r="E319" s="184" t="s">
        <v>3459</v>
      </c>
      <c r="F319" s="180">
        <v>44320</v>
      </c>
    </row>
    <row r="320" spans="1:6" s="181" customFormat="1" x14ac:dyDescent="0.3">
      <c r="A320" s="195" t="str">
        <f>"0017941"</f>
        <v>0017941</v>
      </c>
      <c r="B320" s="194" t="s">
        <v>3458</v>
      </c>
      <c r="C320" s="122" t="str">
        <f>"628176600123"</f>
        <v>628176600123</v>
      </c>
      <c r="D320" s="33" t="s">
        <v>25</v>
      </c>
      <c r="E320" s="172" t="s">
        <v>3367</v>
      </c>
      <c r="F320" s="180">
        <v>44313</v>
      </c>
    </row>
    <row r="321" spans="1:6" s="181" customFormat="1" x14ac:dyDescent="0.3">
      <c r="A321" s="195">
        <v>112995</v>
      </c>
      <c r="B321" s="194" t="s">
        <v>3003</v>
      </c>
      <c r="C321" s="122">
        <v>89819760091</v>
      </c>
      <c r="D321" s="33" t="s">
        <v>202</v>
      </c>
      <c r="E321" s="172" t="s">
        <v>3367</v>
      </c>
      <c r="F321" s="180">
        <v>44299</v>
      </c>
    </row>
    <row r="322" spans="1:6" s="181" customFormat="1" x14ac:dyDescent="0.3">
      <c r="A322" s="195">
        <v>262337</v>
      </c>
      <c r="B322" s="194" t="s">
        <v>3455</v>
      </c>
      <c r="C322" s="122">
        <v>742881010159</v>
      </c>
      <c r="D322" s="33" t="s">
        <v>202</v>
      </c>
      <c r="E322" s="172" t="s">
        <v>3367</v>
      </c>
      <c r="F322" s="180">
        <v>44299</v>
      </c>
    </row>
    <row r="323" spans="1:6" s="181" customFormat="1" x14ac:dyDescent="0.3">
      <c r="A323" s="195">
        <v>273490</v>
      </c>
      <c r="B323" s="194" t="s">
        <v>3456</v>
      </c>
      <c r="C323" s="122">
        <v>5201180144200</v>
      </c>
      <c r="D323" s="33" t="s">
        <v>202</v>
      </c>
      <c r="E323" s="172" t="s">
        <v>3367</v>
      </c>
      <c r="F323" s="180">
        <v>44299</v>
      </c>
    </row>
    <row r="324" spans="1:6" s="181" customFormat="1" x14ac:dyDescent="0.3">
      <c r="A324" s="195">
        <v>621227</v>
      </c>
      <c r="B324" s="194" t="s">
        <v>3457</v>
      </c>
      <c r="C324" s="122">
        <v>8000475019349</v>
      </c>
      <c r="D324" s="33" t="s">
        <v>202</v>
      </c>
      <c r="E324" s="172" t="s">
        <v>3367</v>
      </c>
      <c r="F324" s="180">
        <v>44299</v>
      </c>
    </row>
    <row r="325" spans="1:6" s="181" customFormat="1" x14ac:dyDescent="0.3">
      <c r="A325" s="195">
        <v>146787</v>
      </c>
      <c r="B325" s="104" t="s">
        <v>3451</v>
      </c>
      <c r="C325" s="122">
        <v>627128103101</v>
      </c>
      <c r="D325" s="33" t="s">
        <v>202</v>
      </c>
      <c r="E325" s="172" t="s">
        <v>3367</v>
      </c>
      <c r="F325" s="180">
        <v>44299</v>
      </c>
    </row>
    <row r="326" spans="1:6" s="181" customFormat="1" x14ac:dyDescent="0.3">
      <c r="A326" s="195">
        <v>471771</v>
      </c>
      <c r="B326" s="198" t="s">
        <v>3452</v>
      </c>
      <c r="C326" s="122">
        <v>627128116200</v>
      </c>
      <c r="D326" s="33" t="s">
        <v>202</v>
      </c>
      <c r="E326" s="172" t="s">
        <v>3367</v>
      </c>
      <c r="F326" s="180">
        <v>44299</v>
      </c>
    </row>
    <row r="327" spans="1:6" s="181" customFormat="1" x14ac:dyDescent="0.3">
      <c r="A327" s="195">
        <v>483610</v>
      </c>
      <c r="B327" s="104" t="s">
        <v>3453</v>
      </c>
      <c r="C327" s="122">
        <v>627128601652</v>
      </c>
      <c r="D327" s="33" t="s">
        <v>202</v>
      </c>
      <c r="E327" s="172" t="s">
        <v>3367</v>
      </c>
      <c r="F327" s="180">
        <v>44299</v>
      </c>
    </row>
    <row r="328" spans="1:6" s="181" customFormat="1" x14ac:dyDescent="0.3">
      <c r="A328" s="195">
        <v>488650</v>
      </c>
      <c r="B328" s="104" t="s">
        <v>3454</v>
      </c>
      <c r="C328" s="122">
        <v>627128601706</v>
      </c>
      <c r="D328" s="33" t="s">
        <v>202</v>
      </c>
      <c r="E328" s="172" t="s">
        <v>3367</v>
      </c>
      <c r="F328" s="180">
        <v>44299</v>
      </c>
    </row>
    <row r="329" spans="1:6" s="181" customFormat="1" x14ac:dyDescent="0.3">
      <c r="A329" s="195">
        <v>297655</v>
      </c>
      <c r="B329" s="194" t="s">
        <v>2453</v>
      </c>
      <c r="C329" s="122">
        <v>8002062001744</v>
      </c>
      <c r="D329" s="157" t="s">
        <v>137</v>
      </c>
      <c r="E329" s="184" t="s">
        <v>3450</v>
      </c>
      <c r="F329" s="197">
        <v>44327</v>
      </c>
    </row>
    <row r="330" spans="1:6" s="181" customFormat="1" ht="27.95" x14ac:dyDescent="0.3">
      <c r="A330" s="195" t="s">
        <v>3442</v>
      </c>
      <c r="B330" s="194" t="s">
        <v>3443</v>
      </c>
      <c r="C330" s="122" t="s">
        <v>3444</v>
      </c>
      <c r="D330" s="157" t="s">
        <v>25</v>
      </c>
      <c r="E330" s="184" t="s">
        <v>3448</v>
      </c>
      <c r="F330" s="180">
        <v>44313</v>
      </c>
    </row>
    <row r="331" spans="1:6" s="181" customFormat="1" ht="27.95" x14ac:dyDescent="0.3">
      <c r="A331" s="195" t="s">
        <v>3445</v>
      </c>
      <c r="B331" s="194" t="s">
        <v>3446</v>
      </c>
      <c r="C331" s="122" t="s">
        <v>3447</v>
      </c>
      <c r="D331" s="157" t="s">
        <v>25</v>
      </c>
      <c r="E331" s="184" t="s">
        <v>3449</v>
      </c>
      <c r="F331" s="180">
        <v>44313</v>
      </c>
    </row>
    <row r="332" spans="1:6" s="181" customFormat="1" ht="13.7" customHeight="1" x14ac:dyDescent="0.3">
      <c r="A332" s="195" t="str">
        <f>"0017908"</f>
        <v>0017908</v>
      </c>
      <c r="B332" s="194" t="s">
        <v>3441</v>
      </c>
      <c r="C332" s="191" t="str">
        <f>"644216909674"</f>
        <v>644216909674</v>
      </c>
      <c r="D332" s="33" t="s">
        <v>48</v>
      </c>
      <c r="E332" s="172" t="s">
        <v>3367</v>
      </c>
      <c r="F332" s="180">
        <v>44313</v>
      </c>
    </row>
    <row r="333" spans="1:6" s="181" customFormat="1" ht="27.95" x14ac:dyDescent="0.3">
      <c r="A333" s="195" t="str">
        <f>"0430769"</f>
        <v>0430769</v>
      </c>
      <c r="B333" s="194" t="s">
        <v>3439</v>
      </c>
      <c r="C333" s="122" t="str">
        <f>"4002208017404"</f>
        <v>4002208017404</v>
      </c>
      <c r="D333" s="157" t="s">
        <v>48</v>
      </c>
      <c r="E333" s="184" t="s">
        <v>3440</v>
      </c>
      <c r="F333" s="180">
        <v>44293</v>
      </c>
    </row>
    <row r="334" spans="1:6" s="181" customFormat="1" ht="13.7" customHeight="1" x14ac:dyDescent="0.3">
      <c r="A334" s="195" t="str">
        <f>"0697680"</f>
        <v>0697680</v>
      </c>
      <c r="B334" s="194" t="s">
        <v>3437</v>
      </c>
      <c r="C334" s="191" t="str">
        <f>"855315005000"</f>
        <v>855315005000</v>
      </c>
      <c r="D334" s="33" t="s">
        <v>555</v>
      </c>
      <c r="E334" s="172" t="s">
        <v>3367</v>
      </c>
      <c r="F334" s="180">
        <v>44293</v>
      </c>
    </row>
    <row r="335" spans="1:6" s="181" customFormat="1" ht="13.7" customHeight="1" x14ac:dyDescent="0.3">
      <c r="A335" s="195" t="str">
        <f>"0016024"</f>
        <v>0016024</v>
      </c>
      <c r="B335" s="194" t="s">
        <v>3438</v>
      </c>
      <c r="C335" s="191" t="str">
        <f>"855315005420"</f>
        <v>855315005420</v>
      </c>
      <c r="D335" s="33" t="s">
        <v>25</v>
      </c>
      <c r="E335" s="172" t="s">
        <v>3367</v>
      </c>
      <c r="F335" s="180">
        <v>44306</v>
      </c>
    </row>
    <row r="336" spans="1:6" s="181" customFormat="1" ht="13.7" customHeight="1" x14ac:dyDescent="0.3">
      <c r="A336" s="195" t="str">
        <f>"0018011"</f>
        <v>0018011</v>
      </c>
      <c r="B336" s="194" t="s">
        <v>3436</v>
      </c>
      <c r="C336" s="191" t="str">
        <f>"874474000299"</f>
        <v>874474000299</v>
      </c>
      <c r="D336" s="33" t="s">
        <v>25</v>
      </c>
      <c r="E336" s="172" t="s">
        <v>3367</v>
      </c>
      <c r="F336" s="180">
        <v>44306</v>
      </c>
    </row>
    <row r="337" spans="1:6" s="181" customFormat="1" ht="27.95" x14ac:dyDescent="0.3">
      <c r="A337" s="195" t="str">
        <f>"0575365"</f>
        <v>0575365</v>
      </c>
      <c r="B337" s="194" t="s">
        <v>2400</v>
      </c>
      <c r="C337" s="122" t="str">
        <f>"602573184172"</f>
        <v>602573184172</v>
      </c>
      <c r="D337" s="157" t="s">
        <v>25</v>
      </c>
      <c r="E337" s="184" t="s">
        <v>3435</v>
      </c>
      <c r="F337" s="196">
        <v>44306</v>
      </c>
    </row>
    <row r="338" spans="1:6" s="181" customFormat="1" ht="13.7" customHeight="1" x14ac:dyDescent="0.3">
      <c r="A338" s="195">
        <v>167551</v>
      </c>
      <c r="B338" s="194" t="s">
        <v>3434</v>
      </c>
      <c r="C338" s="191">
        <v>779327194197</v>
      </c>
      <c r="D338" s="33" t="s">
        <v>202</v>
      </c>
      <c r="E338" s="172" t="s">
        <v>3367</v>
      </c>
      <c r="F338" s="180">
        <v>44293</v>
      </c>
    </row>
    <row r="339" spans="1:6" s="181" customFormat="1" ht="13.7" customHeight="1" x14ac:dyDescent="0.3">
      <c r="A339" s="195">
        <v>485607</v>
      </c>
      <c r="B339" s="194" t="s">
        <v>3433</v>
      </c>
      <c r="C339" s="191">
        <v>779327194418</v>
      </c>
      <c r="D339" s="33" t="s">
        <v>202</v>
      </c>
      <c r="E339" s="172" t="s">
        <v>3367</v>
      </c>
      <c r="F339" s="180">
        <v>44293</v>
      </c>
    </row>
    <row r="340" spans="1:6" s="181" customFormat="1" ht="13.7" customHeight="1" x14ac:dyDescent="0.3">
      <c r="A340" s="195">
        <v>498758</v>
      </c>
      <c r="B340" s="194" t="s">
        <v>3431</v>
      </c>
      <c r="C340" s="191">
        <v>779327170030</v>
      </c>
      <c r="D340" s="33" t="s">
        <v>202</v>
      </c>
      <c r="E340" s="172" t="s">
        <v>3367</v>
      </c>
      <c r="F340" s="180">
        <v>44293</v>
      </c>
    </row>
    <row r="341" spans="1:6" s="181" customFormat="1" ht="13.7" customHeight="1" x14ac:dyDescent="0.3">
      <c r="A341" s="195">
        <v>173609</v>
      </c>
      <c r="B341" s="194" t="s">
        <v>3432</v>
      </c>
      <c r="C341" s="191">
        <v>779327130171</v>
      </c>
      <c r="D341" s="33" t="s">
        <v>202</v>
      </c>
      <c r="E341" s="172" t="s">
        <v>3367</v>
      </c>
      <c r="F341" s="180">
        <v>44293</v>
      </c>
    </row>
    <row r="342" spans="1:6" s="181" customFormat="1" ht="13.7" customHeight="1" x14ac:dyDescent="0.3">
      <c r="A342" s="193" t="str">
        <f>"0635292"</f>
        <v>0635292</v>
      </c>
      <c r="B342" s="192" t="s">
        <v>3430</v>
      </c>
      <c r="C342" s="191" t="str">
        <f>"637801973426"</f>
        <v>637801973426</v>
      </c>
      <c r="D342" s="33" t="s">
        <v>25</v>
      </c>
      <c r="E342" s="172" t="s">
        <v>3367</v>
      </c>
      <c r="F342" s="180">
        <v>44288</v>
      </c>
    </row>
    <row r="343" spans="1:6" s="181" customFormat="1" ht="27.95" x14ac:dyDescent="0.3">
      <c r="A343" s="195" t="str">
        <f>"0478255"</f>
        <v>0478255</v>
      </c>
      <c r="B343" s="194" t="s">
        <v>3428</v>
      </c>
      <c r="C343" s="122" t="str">
        <f>"776029702729"</f>
        <v>776029702729</v>
      </c>
      <c r="D343" s="157" t="s">
        <v>25</v>
      </c>
      <c r="E343" s="184" t="s">
        <v>3429</v>
      </c>
      <c r="F343" s="196">
        <v>44306</v>
      </c>
    </row>
    <row r="344" spans="1:6" s="181" customFormat="1" ht="14.1" customHeight="1" x14ac:dyDescent="0.3">
      <c r="A344" s="195">
        <v>533026</v>
      </c>
      <c r="B344" s="194" t="s">
        <v>3426</v>
      </c>
      <c r="C344" s="122">
        <v>8002062012825</v>
      </c>
      <c r="D344" s="157" t="s">
        <v>202</v>
      </c>
      <c r="E344" s="184" t="s">
        <v>3427</v>
      </c>
      <c r="F344" s="196">
        <v>44306</v>
      </c>
    </row>
    <row r="345" spans="1:6" s="181" customFormat="1" ht="13.7" customHeight="1" x14ac:dyDescent="0.3">
      <c r="A345" s="193">
        <v>251470</v>
      </c>
      <c r="B345" s="192" t="s">
        <v>3424</v>
      </c>
      <c r="C345" s="191">
        <v>48162004429</v>
      </c>
      <c r="D345" s="33" t="s">
        <v>202</v>
      </c>
      <c r="E345" s="172" t="s">
        <v>3367</v>
      </c>
      <c r="F345" s="180">
        <v>44285</v>
      </c>
    </row>
    <row r="346" spans="1:6" s="181" customFormat="1" ht="13.7" customHeight="1" x14ac:dyDescent="0.3">
      <c r="A346" s="189">
        <v>688531</v>
      </c>
      <c r="B346" s="188" t="s">
        <v>3425</v>
      </c>
      <c r="C346" s="191">
        <v>48162015609</v>
      </c>
      <c r="D346" s="33" t="s">
        <v>202</v>
      </c>
      <c r="E346" s="172" t="s">
        <v>3367</v>
      </c>
      <c r="F346" s="180">
        <v>44285</v>
      </c>
    </row>
    <row r="347" spans="1:6" s="181" customFormat="1" ht="13.7" customHeight="1" x14ac:dyDescent="0.3">
      <c r="A347" s="189">
        <v>444778</v>
      </c>
      <c r="B347" s="188" t="s">
        <v>3422</v>
      </c>
      <c r="C347" s="191">
        <v>81308003702</v>
      </c>
      <c r="D347" s="33" t="s">
        <v>1301</v>
      </c>
      <c r="E347" s="172" t="s">
        <v>3367</v>
      </c>
      <c r="F347" s="180">
        <v>44299</v>
      </c>
    </row>
    <row r="348" spans="1:6" s="181" customFormat="1" ht="13.7" customHeight="1" x14ac:dyDescent="0.3">
      <c r="A348" s="189">
        <v>444760</v>
      </c>
      <c r="B348" s="188" t="s">
        <v>3423</v>
      </c>
      <c r="C348" s="191">
        <v>81308003719</v>
      </c>
      <c r="D348" s="33" t="s">
        <v>1301</v>
      </c>
      <c r="E348" s="172" t="s">
        <v>3367</v>
      </c>
      <c r="F348" s="180">
        <v>44299</v>
      </c>
    </row>
    <row r="349" spans="1:6" s="181" customFormat="1" ht="30.65" customHeight="1" x14ac:dyDescent="0.3">
      <c r="A349" s="189" t="str">
        <f>"0646620"</f>
        <v>0646620</v>
      </c>
      <c r="B349" s="188" t="s">
        <v>3420</v>
      </c>
      <c r="C349" s="191" t="str">
        <f>"052338000061"</f>
        <v>052338000061</v>
      </c>
      <c r="D349" s="33" t="s">
        <v>25</v>
      </c>
      <c r="E349" s="184" t="s">
        <v>3421</v>
      </c>
      <c r="F349" s="180">
        <v>44299</v>
      </c>
    </row>
    <row r="350" spans="1:6" s="181" customFormat="1" ht="13.7" customHeight="1" x14ac:dyDescent="0.3">
      <c r="A350" s="189" t="str">
        <f>"0413831"</f>
        <v>0413831</v>
      </c>
      <c r="B350" s="188" t="s">
        <v>902</v>
      </c>
      <c r="C350" s="191" t="str">
        <f>"814049009234"</f>
        <v>814049009234</v>
      </c>
      <c r="D350" s="157" t="s">
        <v>25</v>
      </c>
      <c r="E350" s="172" t="s">
        <v>3367</v>
      </c>
      <c r="F350" s="180">
        <v>44299</v>
      </c>
    </row>
    <row r="351" spans="1:6" s="181" customFormat="1" ht="30.65" customHeight="1" x14ac:dyDescent="0.3">
      <c r="A351" s="189" t="str">
        <f>"0015589"</f>
        <v>0015589</v>
      </c>
      <c r="B351" s="188" t="s">
        <v>3418</v>
      </c>
      <c r="C351" s="191" t="str">
        <f>"628055731160"</f>
        <v>628055731160</v>
      </c>
      <c r="D351" s="33" t="s">
        <v>124</v>
      </c>
      <c r="E351" s="184" t="s">
        <v>3419</v>
      </c>
      <c r="F351" s="180">
        <v>44280</v>
      </c>
    </row>
    <row r="352" spans="1:6" s="181" customFormat="1" ht="13.7" customHeight="1" x14ac:dyDescent="0.3">
      <c r="A352" s="189" t="str">
        <f>"0017273"</f>
        <v>0017273</v>
      </c>
      <c r="B352" s="188" t="s">
        <v>3417</v>
      </c>
      <c r="C352" s="191" t="str">
        <f>"627843757993"</f>
        <v>627843757993</v>
      </c>
      <c r="D352" s="157" t="s">
        <v>25</v>
      </c>
      <c r="E352" s="172" t="s">
        <v>3367</v>
      </c>
      <c r="F352" s="180">
        <v>44278</v>
      </c>
    </row>
    <row r="353" spans="1:6" s="181" customFormat="1" ht="30.65" customHeight="1" x14ac:dyDescent="0.3">
      <c r="A353" s="189">
        <v>439281</v>
      </c>
      <c r="B353" s="188" t="s">
        <v>3415</v>
      </c>
      <c r="C353" s="191">
        <v>624654000270</v>
      </c>
      <c r="D353" s="33" t="s">
        <v>202</v>
      </c>
      <c r="E353" s="184" t="s">
        <v>3416</v>
      </c>
      <c r="F353" s="180">
        <v>44274</v>
      </c>
    </row>
    <row r="354" spans="1:6" s="181" customFormat="1" ht="13.7" customHeight="1" x14ac:dyDescent="0.3">
      <c r="A354" s="189" t="str">
        <f>"0016834"</f>
        <v>0016834</v>
      </c>
      <c r="B354" s="188" t="s">
        <v>3414</v>
      </c>
      <c r="C354" s="191" t="str">
        <f>"628504954027"</f>
        <v>628504954027</v>
      </c>
      <c r="D354" s="157" t="s">
        <v>25</v>
      </c>
      <c r="E354" s="172" t="s">
        <v>3367</v>
      </c>
      <c r="F354" s="180">
        <v>44293</v>
      </c>
    </row>
    <row r="355" spans="1:6" s="181" customFormat="1" ht="13.7" customHeight="1" x14ac:dyDescent="0.3">
      <c r="A355" s="189" t="str">
        <f>"0017275"</f>
        <v>0017275</v>
      </c>
      <c r="B355" s="188" t="s">
        <v>3413</v>
      </c>
      <c r="C355" s="191" t="str">
        <f>"9003400650012"</f>
        <v>9003400650012</v>
      </c>
      <c r="D355" s="157" t="s">
        <v>127</v>
      </c>
      <c r="E355" s="172" t="s">
        <v>3367</v>
      </c>
      <c r="F355" s="180">
        <v>44293</v>
      </c>
    </row>
    <row r="356" spans="1:6" s="181" customFormat="1" ht="13.7" customHeight="1" x14ac:dyDescent="0.3">
      <c r="A356" s="189" t="str">
        <f>"0018021"</f>
        <v>0018021</v>
      </c>
      <c r="B356" s="188" t="s">
        <v>3412</v>
      </c>
      <c r="C356" s="191" t="str">
        <f>"830803000330"</f>
        <v>830803000330</v>
      </c>
      <c r="D356" s="157" t="s">
        <v>25</v>
      </c>
      <c r="E356" s="172" t="s">
        <v>3367</v>
      </c>
      <c r="F356" s="180">
        <v>44293</v>
      </c>
    </row>
    <row r="357" spans="1:6" s="181" customFormat="1" ht="13.7" customHeight="1" x14ac:dyDescent="0.3">
      <c r="A357" s="189" t="str">
        <f>"0017063"</f>
        <v>0017063</v>
      </c>
      <c r="B357" s="188" t="s">
        <v>3411</v>
      </c>
      <c r="C357" s="191" t="str">
        <f>"186360010238"</f>
        <v>186360010238</v>
      </c>
      <c r="D357" s="157" t="s">
        <v>98</v>
      </c>
      <c r="E357" s="172" t="s">
        <v>3367</v>
      </c>
      <c r="F357" s="180">
        <v>44293</v>
      </c>
    </row>
    <row r="358" spans="1:6" s="181" customFormat="1" ht="29.7" customHeight="1" x14ac:dyDescent="0.3">
      <c r="A358" s="189" t="str">
        <f>"0016007"</f>
        <v>0016007</v>
      </c>
      <c r="B358" s="188" t="s">
        <v>3320</v>
      </c>
      <c r="C358" s="191" t="str">
        <f>"672975067526"</f>
        <v>672975067526</v>
      </c>
      <c r="D358" s="19" t="s">
        <v>25</v>
      </c>
      <c r="E358" s="172" t="s">
        <v>3410</v>
      </c>
      <c r="F358" s="180">
        <v>44293</v>
      </c>
    </row>
    <row r="359" spans="1:6" s="181" customFormat="1" ht="13.7" customHeight="1" x14ac:dyDescent="0.3">
      <c r="A359" s="189" t="str">
        <f>"0311852"</f>
        <v>0311852</v>
      </c>
      <c r="B359" s="188" t="s">
        <v>3409</v>
      </c>
      <c r="C359" s="191" t="str">
        <f>"798713420207"</f>
        <v>798713420207</v>
      </c>
      <c r="D359" s="157" t="s">
        <v>29</v>
      </c>
      <c r="E359" s="172" t="s">
        <v>3367</v>
      </c>
      <c r="F359" s="180">
        <v>44306</v>
      </c>
    </row>
    <row r="360" spans="1:6" s="181" customFormat="1" ht="13.7" customHeight="1" x14ac:dyDescent="0.3">
      <c r="A360" s="189" t="str">
        <f>"0016373"</f>
        <v>0016373</v>
      </c>
      <c r="B360" s="188" t="s">
        <v>3408</v>
      </c>
      <c r="C360" s="191" t="str">
        <f>"627167100581"</f>
        <v>627167100581</v>
      </c>
      <c r="D360" s="157" t="s">
        <v>25</v>
      </c>
      <c r="E360" s="172" t="s">
        <v>3367</v>
      </c>
      <c r="F360" s="180">
        <v>44293</v>
      </c>
    </row>
    <row r="361" spans="1:6" s="181" customFormat="1" ht="13.7" customHeight="1" x14ac:dyDescent="0.3">
      <c r="A361" s="189" t="str">
        <f>"0015177"</f>
        <v>0015177</v>
      </c>
      <c r="B361" s="188" t="s">
        <v>3407</v>
      </c>
      <c r="C361" s="191" t="str">
        <f>"048162016620"</f>
        <v>048162016620</v>
      </c>
      <c r="D361" s="157" t="s">
        <v>48</v>
      </c>
      <c r="E361" s="172" t="s">
        <v>3367</v>
      </c>
      <c r="F361" s="180">
        <v>44272</v>
      </c>
    </row>
    <row r="362" spans="1:6" s="181" customFormat="1" ht="13.7" customHeight="1" x14ac:dyDescent="0.3">
      <c r="A362" s="189">
        <v>242545</v>
      </c>
      <c r="B362" s="188" t="s">
        <v>3399</v>
      </c>
      <c r="C362" s="191" t="s">
        <v>3401</v>
      </c>
      <c r="D362" s="157" t="s">
        <v>25</v>
      </c>
      <c r="E362" s="172" t="s">
        <v>3402</v>
      </c>
      <c r="F362" s="180">
        <v>44274</v>
      </c>
    </row>
    <row r="363" spans="1:6" s="181" customFormat="1" ht="13.7" customHeight="1" x14ac:dyDescent="0.3">
      <c r="A363" s="189">
        <v>408054</v>
      </c>
      <c r="B363" s="188" t="s">
        <v>3400</v>
      </c>
      <c r="C363" s="191" t="s">
        <v>3403</v>
      </c>
      <c r="D363" s="157" t="s">
        <v>25</v>
      </c>
      <c r="E363" s="172" t="s">
        <v>3404</v>
      </c>
      <c r="F363" s="180">
        <v>44274</v>
      </c>
    </row>
    <row r="364" spans="1:6" s="181" customFormat="1" ht="13.7" customHeight="1" x14ac:dyDescent="0.3">
      <c r="A364" s="189">
        <v>458273</v>
      </c>
      <c r="B364" s="188" t="s">
        <v>101</v>
      </c>
      <c r="C364" s="191" t="s">
        <v>3405</v>
      </c>
      <c r="D364" s="157" t="s">
        <v>25</v>
      </c>
      <c r="E364" s="172" t="s">
        <v>3406</v>
      </c>
      <c r="F364" s="180">
        <v>44274</v>
      </c>
    </row>
    <row r="365" spans="1:6" s="181" customFormat="1" ht="13.7" customHeight="1" x14ac:dyDescent="0.3">
      <c r="A365" s="189">
        <v>620773</v>
      </c>
      <c r="B365" s="188" t="s">
        <v>2848</v>
      </c>
      <c r="C365" s="190">
        <v>8002062001652</v>
      </c>
      <c r="D365" s="33" t="s">
        <v>202</v>
      </c>
      <c r="E365" s="172" t="s">
        <v>3398</v>
      </c>
      <c r="F365" s="180">
        <v>44285</v>
      </c>
    </row>
    <row r="366" spans="1:6" s="181" customFormat="1" ht="13.7" customHeight="1" x14ac:dyDescent="0.3">
      <c r="A366" s="185">
        <v>12825</v>
      </c>
      <c r="B366" s="186" t="s">
        <v>3396</v>
      </c>
      <c r="C366" s="187">
        <v>776409000346</v>
      </c>
      <c r="D366" s="33" t="s">
        <v>202</v>
      </c>
      <c r="E366" s="172" t="s">
        <v>3367</v>
      </c>
      <c r="F366" s="180">
        <v>44264</v>
      </c>
    </row>
    <row r="367" spans="1:6" s="181" customFormat="1" ht="13.7" customHeight="1" x14ac:dyDescent="0.3">
      <c r="A367" s="185">
        <v>12828</v>
      </c>
      <c r="B367" s="186" t="s">
        <v>3397</v>
      </c>
      <c r="C367" s="187">
        <v>779327152043</v>
      </c>
      <c r="D367" s="33" t="s">
        <v>202</v>
      </c>
      <c r="E367" s="172" t="s">
        <v>3367</v>
      </c>
      <c r="F367" s="180">
        <v>44264</v>
      </c>
    </row>
    <row r="368" spans="1:6" s="181" customFormat="1" ht="13.7" customHeight="1" x14ac:dyDescent="0.3">
      <c r="A368" s="179" t="str">
        <f>"0017934"</f>
        <v>0017934</v>
      </c>
      <c r="B368" s="135" t="s">
        <v>3395</v>
      </c>
      <c r="C368" s="117" t="str">
        <f>"628055731399"</f>
        <v>628055731399</v>
      </c>
      <c r="D368" s="33" t="s">
        <v>25</v>
      </c>
      <c r="E368" s="172" t="s">
        <v>3367</v>
      </c>
      <c r="F368" s="180">
        <v>44264</v>
      </c>
    </row>
    <row r="369" spans="1:6" s="181" customFormat="1" ht="13.7" customHeight="1" x14ac:dyDescent="0.3">
      <c r="A369" s="179" t="str">
        <f>"0017671"</f>
        <v>0017671</v>
      </c>
      <c r="B369" s="135" t="s">
        <v>3394</v>
      </c>
      <c r="C369" s="117" t="str">
        <f>"672975229542"</f>
        <v>672975229542</v>
      </c>
      <c r="D369" s="33" t="s">
        <v>25</v>
      </c>
      <c r="E369" s="172" t="s">
        <v>3367</v>
      </c>
      <c r="F369" s="180">
        <v>44261</v>
      </c>
    </row>
    <row r="370" spans="1:6" s="181" customFormat="1" ht="13.7" customHeight="1" x14ac:dyDescent="0.3">
      <c r="A370" s="179">
        <v>383240</v>
      </c>
      <c r="B370" s="135" t="s">
        <v>3393</v>
      </c>
      <c r="C370" s="117">
        <v>776029703108</v>
      </c>
      <c r="D370" s="33" t="s">
        <v>25</v>
      </c>
      <c r="E370" s="172" t="s">
        <v>3367</v>
      </c>
      <c r="F370" s="180">
        <v>44278</v>
      </c>
    </row>
    <row r="371" spans="1:6" s="181" customFormat="1" ht="13.7" customHeight="1" x14ac:dyDescent="0.3">
      <c r="A371" s="179">
        <v>610642</v>
      </c>
      <c r="B371" s="145" t="s">
        <v>232</v>
      </c>
      <c r="C371" s="117">
        <v>605800000146</v>
      </c>
      <c r="D371" s="157" t="s">
        <v>37</v>
      </c>
      <c r="E371" s="172" t="s">
        <v>3367</v>
      </c>
      <c r="F371" s="180">
        <v>44278</v>
      </c>
    </row>
    <row r="372" spans="1:6" s="181" customFormat="1" ht="13.7" customHeight="1" x14ac:dyDescent="0.3">
      <c r="A372" s="179" t="str">
        <f>"0487116"</f>
        <v>0487116</v>
      </c>
      <c r="B372" s="145" t="s">
        <v>3389</v>
      </c>
      <c r="C372" s="117" t="str">
        <f>"627587055300"</f>
        <v>627587055300</v>
      </c>
      <c r="D372" s="157" t="s">
        <v>25</v>
      </c>
      <c r="E372" s="172" t="s">
        <v>3367</v>
      </c>
      <c r="F372" s="180">
        <v>44278</v>
      </c>
    </row>
    <row r="373" spans="1:6" s="181" customFormat="1" ht="13.7" customHeight="1" x14ac:dyDescent="0.3">
      <c r="A373" s="179" t="str">
        <f>"0634584"</f>
        <v>0634584</v>
      </c>
      <c r="B373" s="145" t="s">
        <v>3390</v>
      </c>
      <c r="C373" s="117" t="str">
        <f>"823994001033"</f>
        <v>823994001033</v>
      </c>
      <c r="D373" s="157" t="s">
        <v>25</v>
      </c>
      <c r="E373" s="172" t="s">
        <v>3367</v>
      </c>
      <c r="F373" s="180">
        <v>44278</v>
      </c>
    </row>
    <row r="374" spans="1:6" s="181" customFormat="1" ht="13.7" customHeight="1" x14ac:dyDescent="0.3">
      <c r="A374" s="179" t="str">
        <f>"0618363"</f>
        <v>0618363</v>
      </c>
      <c r="B374" s="145" t="s">
        <v>3391</v>
      </c>
      <c r="C374" s="117" t="str">
        <f>"5011348021454"</f>
        <v>5011348021454</v>
      </c>
      <c r="D374" s="157" t="s">
        <v>48</v>
      </c>
      <c r="E374" s="172" t="s">
        <v>3367</v>
      </c>
      <c r="F374" s="180">
        <v>44260</v>
      </c>
    </row>
    <row r="375" spans="1:6" s="181" customFormat="1" ht="13.7" customHeight="1" x14ac:dyDescent="0.3">
      <c r="A375" s="179" t="str">
        <f>"0634139"</f>
        <v>0634139</v>
      </c>
      <c r="B375" s="145" t="s">
        <v>3392</v>
      </c>
      <c r="C375" s="117" t="str">
        <f>"858852004499"</f>
        <v>858852004499</v>
      </c>
      <c r="D375" s="157" t="s">
        <v>25</v>
      </c>
      <c r="E375" s="172" t="s">
        <v>3367</v>
      </c>
      <c r="F375" s="180">
        <v>44260</v>
      </c>
    </row>
    <row r="376" spans="1:6" s="181" customFormat="1" ht="13.7" customHeight="1" x14ac:dyDescent="0.3">
      <c r="A376" s="179">
        <f>119370</f>
        <v>119370</v>
      </c>
      <c r="B376" s="145" t="s">
        <v>2708</v>
      </c>
      <c r="C376" s="117" t="str">
        <f>"746546000387"</f>
        <v>746546000387</v>
      </c>
      <c r="D376" s="157" t="s">
        <v>37</v>
      </c>
      <c r="E376" s="172" t="s">
        <v>3367</v>
      </c>
      <c r="F376" s="180">
        <v>44259</v>
      </c>
    </row>
    <row r="377" spans="1:6" s="181" customFormat="1" ht="13.7" customHeight="1" x14ac:dyDescent="0.3">
      <c r="A377" s="179">
        <v>13174</v>
      </c>
      <c r="B377" s="145" t="s">
        <v>3387</v>
      </c>
      <c r="C377" s="117">
        <v>628055731290</v>
      </c>
      <c r="D377" s="157" t="s">
        <v>25</v>
      </c>
      <c r="E377" s="172" t="s">
        <v>3367</v>
      </c>
      <c r="F377" s="180">
        <v>44257</v>
      </c>
    </row>
    <row r="378" spans="1:6" s="181" customFormat="1" ht="13.7" customHeight="1" x14ac:dyDescent="0.3">
      <c r="A378" s="179">
        <v>14692</v>
      </c>
      <c r="B378" s="145" t="s">
        <v>3388</v>
      </c>
      <c r="C378" s="117">
        <v>628055731337</v>
      </c>
      <c r="D378" s="157" t="s">
        <v>25</v>
      </c>
      <c r="E378" s="172" t="s">
        <v>3367</v>
      </c>
      <c r="F378" s="180">
        <v>44257</v>
      </c>
    </row>
    <row r="379" spans="1:6" s="181" customFormat="1" ht="27.95" x14ac:dyDescent="0.3">
      <c r="A379" s="179" t="str">
        <f>"0415661"</f>
        <v>0415661</v>
      </c>
      <c r="B379" s="145" t="s">
        <v>3385</v>
      </c>
      <c r="C379" s="117" t="str">
        <f>"75001629"</f>
        <v>75001629</v>
      </c>
      <c r="D379" s="157" t="s">
        <v>29</v>
      </c>
      <c r="E379" s="172" t="s">
        <v>3386</v>
      </c>
      <c r="F379" s="180">
        <v>44271</v>
      </c>
    </row>
    <row r="380" spans="1:6" s="181" customFormat="1" ht="13.7" customHeight="1" x14ac:dyDescent="0.3">
      <c r="A380" s="179">
        <v>12460</v>
      </c>
      <c r="B380" s="145" t="s">
        <v>3384</v>
      </c>
      <c r="C380" s="117" t="str">
        <f>"627843469087"</f>
        <v>627843469087</v>
      </c>
      <c r="D380" s="157" t="s">
        <v>1620</v>
      </c>
      <c r="E380" s="172" t="s">
        <v>3367</v>
      </c>
      <c r="F380" s="180">
        <v>44257</v>
      </c>
    </row>
    <row r="381" spans="1:6" s="181" customFormat="1" ht="13.7" customHeight="1" x14ac:dyDescent="0.3">
      <c r="A381" s="179">
        <v>562660</v>
      </c>
      <c r="B381" s="145" t="s">
        <v>3382</v>
      </c>
      <c r="C381" s="117" t="s">
        <v>3383</v>
      </c>
      <c r="D381" s="157" t="s">
        <v>202</v>
      </c>
      <c r="E381" s="172" t="s">
        <v>3367</v>
      </c>
      <c r="F381" s="180">
        <v>44271</v>
      </c>
    </row>
    <row r="382" spans="1:6" s="181" customFormat="1" ht="29.7" customHeight="1" x14ac:dyDescent="0.3">
      <c r="A382" s="179">
        <v>130989</v>
      </c>
      <c r="B382" s="145" t="s">
        <v>2458</v>
      </c>
      <c r="C382" s="117">
        <v>670459010808</v>
      </c>
      <c r="D382" s="157" t="s">
        <v>202</v>
      </c>
      <c r="E382" s="184" t="s">
        <v>3381</v>
      </c>
      <c r="F382" s="180">
        <v>44257</v>
      </c>
    </row>
    <row r="383" spans="1:6" s="181" customFormat="1" ht="13.7" customHeight="1" x14ac:dyDescent="0.3">
      <c r="A383" s="179" t="str">
        <f>"0018022"</f>
        <v>0018022</v>
      </c>
      <c r="B383" s="145" t="s">
        <v>3379</v>
      </c>
      <c r="C383" s="117" t="str">
        <f>"621433080041"</f>
        <v>621433080041</v>
      </c>
      <c r="D383" s="19" t="s">
        <v>25</v>
      </c>
      <c r="E383" s="172" t="s">
        <v>3367</v>
      </c>
      <c r="F383" s="180">
        <v>44271</v>
      </c>
    </row>
    <row r="384" spans="1:6" s="181" customFormat="1" ht="13.7" customHeight="1" x14ac:dyDescent="0.3">
      <c r="A384" s="179" t="str">
        <f>"0017212"</f>
        <v>0017212</v>
      </c>
      <c r="B384" s="145" t="s">
        <v>3380</v>
      </c>
      <c r="C384" s="117" t="str">
        <f>"621433029040"</f>
        <v>621433029040</v>
      </c>
      <c r="D384" s="19" t="s">
        <v>124</v>
      </c>
      <c r="E384" s="172" t="s">
        <v>3367</v>
      </c>
      <c r="F384" s="180">
        <v>44253</v>
      </c>
    </row>
    <row r="385" spans="1:6" s="181" customFormat="1" ht="13.7" customHeight="1" x14ac:dyDescent="0.3">
      <c r="A385" s="179">
        <v>15827</v>
      </c>
      <c r="B385" s="145" t="s">
        <v>3377</v>
      </c>
      <c r="C385" s="117">
        <v>628250784299</v>
      </c>
      <c r="D385" s="19" t="s">
        <v>1620</v>
      </c>
      <c r="E385" s="172" t="s">
        <v>3367</v>
      </c>
      <c r="F385" s="180">
        <v>44264</v>
      </c>
    </row>
    <row r="386" spans="1:6" s="181" customFormat="1" ht="13.7" customHeight="1" x14ac:dyDescent="0.3">
      <c r="A386" s="179">
        <v>15896</v>
      </c>
      <c r="B386" s="145" t="s">
        <v>3378</v>
      </c>
      <c r="C386" s="117">
        <v>628250784282</v>
      </c>
      <c r="D386" s="19" t="s">
        <v>1620</v>
      </c>
      <c r="E386" s="172" t="s">
        <v>3367</v>
      </c>
      <c r="F386" s="180">
        <v>44264</v>
      </c>
    </row>
    <row r="387" spans="1:6" s="181" customFormat="1" ht="13.7" customHeight="1" x14ac:dyDescent="0.3">
      <c r="A387" s="179" t="str">
        <f>"0019586"</f>
        <v>0019586</v>
      </c>
      <c r="B387" s="145" t="s">
        <v>3376</v>
      </c>
      <c r="C387" s="117" t="str">
        <f>"628451784081"</f>
        <v>628451784081</v>
      </c>
      <c r="D387" s="19" t="s">
        <v>25</v>
      </c>
      <c r="E387" s="172" t="s">
        <v>3367</v>
      </c>
      <c r="F387" s="180">
        <v>44264</v>
      </c>
    </row>
    <row r="388" spans="1:6" s="181" customFormat="1" ht="13.7" customHeight="1" x14ac:dyDescent="0.3">
      <c r="A388" s="179">
        <v>643775</v>
      </c>
      <c r="B388" s="145" t="s">
        <v>3375</v>
      </c>
      <c r="C388" s="117">
        <v>86003249004</v>
      </c>
      <c r="D388" s="19" t="s">
        <v>202</v>
      </c>
      <c r="E388" s="172" t="s">
        <v>3367</v>
      </c>
      <c r="F388" s="180">
        <v>44264</v>
      </c>
    </row>
    <row r="389" spans="1:6" s="181" customFormat="1" ht="13.7" customHeight="1" x14ac:dyDescent="0.3">
      <c r="A389" s="179">
        <v>15499</v>
      </c>
      <c r="B389" s="145" t="s">
        <v>3374</v>
      </c>
      <c r="C389" s="117">
        <v>779376002504</v>
      </c>
      <c r="D389" s="19" t="s">
        <v>2638</v>
      </c>
      <c r="E389" s="172" t="s">
        <v>3367</v>
      </c>
      <c r="F389" s="180">
        <v>44250</v>
      </c>
    </row>
    <row r="390" spans="1:6" s="181" customFormat="1" ht="13.7" customHeight="1" x14ac:dyDescent="0.3">
      <c r="A390" s="179">
        <v>492496</v>
      </c>
      <c r="B390" s="145" t="s">
        <v>3373</v>
      </c>
      <c r="C390" s="117">
        <v>777081117094</v>
      </c>
      <c r="D390" s="19" t="s">
        <v>455</v>
      </c>
      <c r="E390" s="172" t="s">
        <v>3367</v>
      </c>
      <c r="F390" s="180">
        <v>44257</v>
      </c>
    </row>
    <row r="391" spans="1:6" s="181" customFormat="1" ht="13.7" customHeight="1" x14ac:dyDescent="0.3">
      <c r="A391" s="179">
        <v>277657</v>
      </c>
      <c r="B391" s="145" t="s">
        <v>3372</v>
      </c>
      <c r="C391" s="117">
        <v>833302001068</v>
      </c>
      <c r="D391" s="19" t="s">
        <v>202</v>
      </c>
      <c r="E391" s="172" t="s">
        <v>3367</v>
      </c>
      <c r="F391" s="180">
        <v>44250</v>
      </c>
    </row>
    <row r="392" spans="1:6" s="181" customFormat="1" ht="13.7" customHeight="1" x14ac:dyDescent="0.3">
      <c r="A392" s="179">
        <v>666719</v>
      </c>
      <c r="B392" s="145" t="s">
        <v>3371</v>
      </c>
      <c r="C392" s="117">
        <v>5410316111225</v>
      </c>
      <c r="D392" s="19" t="s">
        <v>202</v>
      </c>
      <c r="E392" s="172" t="s">
        <v>3367</v>
      </c>
      <c r="F392" s="180">
        <v>44264</v>
      </c>
    </row>
    <row r="393" spans="1:6" s="181" customFormat="1" ht="13.7" customHeight="1" x14ac:dyDescent="0.3">
      <c r="A393" s="179" t="str">
        <f>"0637744"</f>
        <v>0637744</v>
      </c>
      <c r="B393" s="145" t="s">
        <v>234</v>
      </c>
      <c r="C393" s="117" t="str">
        <f>"627005060060"</f>
        <v>627005060060</v>
      </c>
      <c r="D393" s="19" t="s">
        <v>106</v>
      </c>
      <c r="E393" s="172" t="s">
        <v>3367</v>
      </c>
      <c r="F393" s="180">
        <v>44264</v>
      </c>
    </row>
    <row r="394" spans="1:6" s="181" customFormat="1" ht="14.1" customHeight="1" x14ac:dyDescent="0.3">
      <c r="A394" s="179" t="str">
        <f>"0557520"</f>
        <v>0557520</v>
      </c>
      <c r="B394" s="145" t="s">
        <v>3369</v>
      </c>
      <c r="C394" s="117" t="str">
        <f>"819761002747"</f>
        <v>819761002747</v>
      </c>
      <c r="D394" s="19" t="s">
        <v>25</v>
      </c>
      <c r="E394" s="172" t="s">
        <v>3367</v>
      </c>
      <c r="F394" s="180">
        <v>44264</v>
      </c>
    </row>
    <row r="395" spans="1:6" s="181" customFormat="1" ht="27.95" x14ac:dyDescent="0.3">
      <c r="A395" s="179">
        <v>518407</v>
      </c>
      <c r="B395" s="145" t="s">
        <v>3364</v>
      </c>
      <c r="C395" s="117">
        <v>4022025372036</v>
      </c>
      <c r="D395" s="157" t="s">
        <v>202</v>
      </c>
      <c r="E395" s="172" t="s">
        <v>3365</v>
      </c>
      <c r="F395" s="180">
        <v>44236</v>
      </c>
    </row>
    <row r="396" spans="1:6" s="181" customFormat="1" ht="27.95" x14ac:dyDescent="0.3">
      <c r="A396" s="179">
        <v>439950</v>
      </c>
      <c r="B396" s="145" t="s">
        <v>3361</v>
      </c>
      <c r="C396" s="117">
        <v>8855366005600</v>
      </c>
      <c r="D396" s="19" t="s">
        <v>29</v>
      </c>
      <c r="E396" s="172" t="s">
        <v>3363</v>
      </c>
      <c r="F396" s="180">
        <v>44236</v>
      </c>
    </row>
    <row r="397" spans="1:6" s="181" customFormat="1" x14ac:dyDescent="0.3">
      <c r="A397" s="179">
        <v>572313</v>
      </c>
      <c r="B397" s="145" t="s">
        <v>3336</v>
      </c>
      <c r="C397" s="117">
        <v>8008440049186</v>
      </c>
      <c r="D397" s="19" t="s">
        <v>48</v>
      </c>
      <c r="E397" s="172" t="s">
        <v>3362</v>
      </c>
      <c r="F397" s="180">
        <v>44236</v>
      </c>
    </row>
    <row r="398" spans="1:6" s="35" customFormat="1" ht="14.65" customHeight="1" x14ac:dyDescent="0.3">
      <c r="A398" s="110">
        <v>522912</v>
      </c>
      <c r="B398" s="172" t="s">
        <v>3359</v>
      </c>
      <c r="C398" s="117">
        <v>816914001329</v>
      </c>
      <c r="D398" s="157" t="s">
        <v>202</v>
      </c>
      <c r="E398" s="172" t="s">
        <v>5</v>
      </c>
      <c r="F398" s="178">
        <v>44229</v>
      </c>
    </row>
    <row r="399" spans="1:6" s="35" customFormat="1" ht="14.65" customHeight="1" x14ac:dyDescent="0.3">
      <c r="A399" s="110">
        <v>522920</v>
      </c>
      <c r="B399" s="172" t="s">
        <v>3360</v>
      </c>
      <c r="C399" s="117">
        <v>816914001312</v>
      </c>
      <c r="D399" s="157" t="s">
        <v>202</v>
      </c>
      <c r="E399" s="172" t="s">
        <v>5</v>
      </c>
      <c r="F399" s="178">
        <v>44229</v>
      </c>
    </row>
    <row r="400" spans="1:6" s="35" customFormat="1" ht="14.65" customHeight="1" x14ac:dyDescent="0.3">
      <c r="A400" s="110">
        <v>316794</v>
      </c>
      <c r="B400" s="172" t="s">
        <v>3356</v>
      </c>
      <c r="C400" s="117">
        <v>5011885003647</v>
      </c>
      <c r="D400" s="157" t="s">
        <v>48</v>
      </c>
      <c r="E400" s="172" t="s">
        <v>5</v>
      </c>
      <c r="F400" s="178">
        <v>44244</v>
      </c>
    </row>
    <row r="401" spans="1:6" s="35" customFormat="1" ht="14.65" customHeight="1" x14ac:dyDescent="0.3">
      <c r="A401" s="110">
        <v>316802</v>
      </c>
      <c r="B401" s="172" t="s">
        <v>3357</v>
      </c>
      <c r="C401" s="117">
        <v>5011885003661</v>
      </c>
      <c r="D401" s="157" t="s">
        <v>48</v>
      </c>
      <c r="E401" s="172" t="s">
        <v>5</v>
      </c>
      <c r="F401" s="178">
        <v>44244</v>
      </c>
    </row>
    <row r="402" spans="1:6" s="35" customFormat="1" ht="14.65" customHeight="1" x14ac:dyDescent="0.3">
      <c r="A402" s="110">
        <v>346940</v>
      </c>
      <c r="B402" s="172" t="s">
        <v>3358</v>
      </c>
      <c r="C402" s="117">
        <v>8716700001729</v>
      </c>
      <c r="D402" s="157" t="s">
        <v>29</v>
      </c>
      <c r="E402" s="172" t="s">
        <v>5</v>
      </c>
      <c r="F402" s="178">
        <v>44244</v>
      </c>
    </row>
    <row r="403" spans="1:6" s="35" customFormat="1" ht="14.65" customHeight="1" x14ac:dyDescent="0.3">
      <c r="A403" s="110">
        <v>564674</v>
      </c>
      <c r="B403" s="172" t="s">
        <v>3354</v>
      </c>
      <c r="C403" s="117">
        <v>8002062008132</v>
      </c>
      <c r="D403" s="157" t="s">
        <v>202</v>
      </c>
      <c r="E403" s="172" t="s">
        <v>3355</v>
      </c>
      <c r="F403" s="178">
        <v>44250</v>
      </c>
    </row>
    <row r="404" spans="1:6" s="35" customFormat="1" ht="14.65" customHeight="1" x14ac:dyDescent="0.3">
      <c r="A404" s="110">
        <v>461624</v>
      </c>
      <c r="B404" s="172" t="s">
        <v>288</v>
      </c>
      <c r="C404" s="117">
        <v>627843518976</v>
      </c>
      <c r="D404" s="157" t="s">
        <v>25</v>
      </c>
      <c r="E404" s="172" t="s">
        <v>5</v>
      </c>
      <c r="F404" s="178">
        <v>44244</v>
      </c>
    </row>
    <row r="405" spans="1:6" s="35" customFormat="1" ht="14.65" customHeight="1" x14ac:dyDescent="0.3">
      <c r="A405" s="110">
        <v>499129</v>
      </c>
      <c r="B405" s="172" t="s">
        <v>3353</v>
      </c>
      <c r="C405" s="117">
        <v>627843519003</v>
      </c>
      <c r="D405" s="157" t="s">
        <v>25</v>
      </c>
      <c r="E405" s="172" t="s">
        <v>5</v>
      </c>
      <c r="F405" s="178">
        <v>44244</v>
      </c>
    </row>
    <row r="406" spans="1:6" s="35" customFormat="1" ht="14.65" customHeight="1" x14ac:dyDescent="0.3">
      <c r="A406" s="110">
        <v>249656</v>
      </c>
      <c r="B406" s="172" t="s">
        <v>3351</v>
      </c>
      <c r="C406" s="117" t="s">
        <v>3350</v>
      </c>
      <c r="D406" s="157" t="s">
        <v>202</v>
      </c>
      <c r="E406" s="172" t="s">
        <v>5</v>
      </c>
      <c r="F406" s="178">
        <v>44236</v>
      </c>
    </row>
    <row r="407" spans="1:6" s="35" customFormat="1" ht="14.65" customHeight="1" x14ac:dyDescent="0.3">
      <c r="A407" s="110" t="str">
        <f>"0015518"</f>
        <v>0015518</v>
      </c>
      <c r="B407" s="172" t="s">
        <v>3349</v>
      </c>
      <c r="C407" s="117" t="str">
        <f>"855315006045"</f>
        <v>855315006045</v>
      </c>
      <c r="D407" s="157" t="s">
        <v>98</v>
      </c>
      <c r="E407" s="172" t="s">
        <v>5</v>
      </c>
      <c r="F407" s="178">
        <v>44222</v>
      </c>
    </row>
    <row r="408" spans="1:6" s="35" customFormat="1" ht="14.65" customHeight="1" x14ac:dyDescent="0.3">
      <c r="A408" s="110">
        <v>456590</v>
      </c>
      <c r="B408" s="172" t="s">
        <v>3348</v>
      </c>
      <c r="C408" s="117">
        <v>874537365143</v>
      </c>
      <c r="D408" s="157" t="s">
        <v>202</v>
      </c>
      <c r="E408" s="172" t="s">
        <v>5</v>
      </c>
      <c r="F408" s="178">
        <v>44236</v>
      </c>
    </row>
    <row r="409" spans="1:6" s="35" customFormat="1" ht="14.65" customHeight="1" x14ac:dyDescent="0.3">
      <c r="A409" s="110" t="str">
        <f>"0488478"</f>
        <v>0488478</v>
      </c>
      <c r="B409" s="172" t="s">
        <v>3347</v>
      </c>
      <c r="C409" s="134" t="str">
        <f>"874414000150"</f>
        <v>874414000150</v>
      </c>
      <c r="D409" s="157" t="s">
        <v>25</v>
      </c>
      <c r="E409" s="172" t="s">
        <v>5</v>
      </c>
      <c r="F409" s="178">
        <v>44236</v>
      </c>
    </row>
    <row r="410" spans="1:6" s="35" customFormat="1" ht="14.65" customHeight="1" x14ac:dyDescent="0.3">
      <c r="A410" s="110" t="str">
        <f>"0439810"</f>
        <v>0439810</v>
      </c>
      <c r="B410" s="172" t="s">
        <v>3343</v>
      </c>
      <c r="C410" s="134" t="str">
        <f>"620707101505"</f>
        <v>620707101505</v>
      </c>
      <c r="D410" s="157" t="s">
        <v>25</v>
      </c>
      <c r="E410" s="172" t="s">
        <v>5</v>
      </c>
      <c r="F410" s="178">
        <v>44216</v>
      </c>
    </row>
    <row r="411" spans="1:6" s="35" customFormat="1" ht="14.65" customHeight="1" x14ac:dyDescent="0.3">
      <c r="A411" s="110" t="str">
        <f>"0549923"</f>
        <v>0549923</v>
      </c>
      <c r="B411" s="172" t="s">
        <v>3344</v>
      </c>
      <c r="C411" s="134" t="str">
        <f>"620707106470"</f>
        <v>620707106470</v>
      </c>
      <c r="D411" s="157" t="s">
        <v>98</v>
      </c>
      <c r="E411" s="172" t="s">
        <v>5</v>
      </c>
      <c r="F411" s="178">
        <v>44216</v>
      </c>
    </row>
    <row r="412" spans="1:6" s="35" customFormat="1" ht="14.65" customHeight="1" x14ac:dyDescent="0.3">
      <c r="A412" s="110" t="str">
        <f>"0475061"</f>
        <v>0475061</v>
      </c>
      <c r="B412" s="172" t="s">
        <v>3345</v>
      </c>
      <c r="C412" s="134" t="str">
        <f>"620707101802"</f>
        <v>620707101802</v>
      </c>
      <c r="D412" s="157" t="s">
        <v>25</v>
      </c>
      <c r="E412" s="172" t="s">
        <v>5</v>
      </c>
      <c r="F412" s="178">
        <v>44236</v>
      </c>
    </row>
    <row r="413" spans="1:6" s="35" customFormat="1" ht="14.65" customHeight="1" x14ac:dyDescent="0.3">
      <c r="A413" s="110" t="str">
        <f>"0927095"</f>
        <v>0927095</v>
      </c>
      <c r="B413" s="172" t="s">
        <v>3346</v>
      </c>
      <c r="C413" s="134" t="str">
        <f>"620707001171"</f>
        <v>620707001171</v>
      </c>
      <c r="D413" s="157" t="s">
        <v>106</v>
      </c>
      <c r="E413" s="172" t="s">
        <v>5</v>
      </c>
      <c r="F413" s="178">
        <v>44236</v>
      </c>
    </row>
    <row r="414" spans="1:6" s="35" customFormat="1" ht="14.65" customHeight="1" x14ac:dyDescent="0.3">
      <c r="A414" s="110" t="str">
        <f>"0457655"</f>
        <v>0457655</v>
      </c>
      <c r="B414" s="172" t="s">
        <v>3338</v>
      </c>
      <c r="C414" s="134" t="str">
        <f>"062067397035"</f>
        <v>062067397035</v>
      </c>
      <c r="D414" s="157" t="s">
        <v>106</v>
      </c>
      <c r="E414" s="172" t="s">
        <v>5</v>
      </c>
      <c r="F414" s="178">
        <v>44236</v>
      </c>
    </row>
    <row r="415" spans="1:6" s="35" customFormat="1" ht="14.65" customHeight="1" x14ac:dyDescent="0.3">
      <c r="A415" s="110" t="str">
        <f>"0480350"</f>
        <v>0480350</v>
      </c>
      <c r="B415" s="172" t="s">
        <v>3339</v>
      </c>
      <c r="C415" s="134" t="str">
        <f>"062067315350"</f>
        <v>062067315350</v>
      </c>
      <c r="D415" s="157" t="s">
        <v>25</v>
      </c>
      <c r="E415" s="172" t="s">
        <v>5</v>
      </c>
      <c r="F415" s="178">
        <v>44236</v>
      </c>
    </row>
    <row r="416" spans="1:6" s="35" customFormat="1" ht="14.65" customHeight="1" x14ac:dyDescent="0.3">
      <c r="A416" s="110" t="str">
        <f>"0542001"</f>
        <v>0542001</v>
      </c>
      <c r="B416" s="172" t="s">
        <v>3340</v>
      </c>
      <c r="C416" s="134" t="str">
        <f>"062067412103"</f>
        <v>062067412103</v>
      </c>
      <c r="D416" s="157" t="s">
        <v>98</v>
      </c>
      <c r="E416" s="172" t="s">
        <v>5</v>
      </c>
      <c r="F416" s="178">
        <v>44236</v>
      </c>
    </row>
    <row r="417" spans="1:6" s="35" customFormat="1" ht="14.65" customHeight="1" x14ac:dyDescent="0.3">
      <c r="A417" s="110" t="str">
        <f>"0575605"</f>
        <v>0575605</v>
      </c>
      <c r="B417" s="172" t="s">
        <v>3341</v>
      </c>
      <c r="C417" s="134" t="str">
        <f>"062067166532"</f>
        <v>062067166532</v>
      </c>
      <c r="D417" s="157" t="s">
        <v>98</v>
      </c>
      <c r="E417" s="172" t="s">
        <v>5</v>
      </c>
      <c r="F417" s="178">
        <v>44236</v>
      </c>
    </row>
    <row r="418" spans="1:6" s="35" customFormat="1" ht="14.65" customHeight="1" x14ac:dyDescent="0.3">
      <c r="A418" s="110" t="str">
        <f>"0927798"</f>
        <v>0927798</v>
      </c>
      <c r="B418" s="172" t="s">
        <v>3342</v>
      </c>
      <c r="C418" s="134" t="str">
        <f>"074837221167"</f>
        <v>074837221167</v>
      </c>
      <c r="D418" s="157" t="s">
        <v>106</v>
      </c>
      <c r="E418" s="172" t="s">
        <v>5</v>
      </c>
      <c r="F418" s="178">
        <v>44236</v>
      </c>
    </row>
    <row r="419" spans="1:6" s="35" customFormat="1" ht="14.65" customHeight="1" x14ac:dyDescent="0.3">
      <c r="A419" s="110" t="str">
        <f>"0376673"</f>
        <v>0376673</v>
      </c>
      <c r="B419" s="172" t="s">
        <v>2502</v>
      </c>
      <c r="C419" s="134" t="str">
        <f>"056327008373"</f>
        <v>056327008373</v>
      </c>
      <c r="D419" s="157" t="s">
        <v>25</v>
      </c>
      <c r="E419" s="172" t="s">
        <v>5</v>
      </c>
      <c r="F419" s="178">
        <v>44216</v>
      </c>
    </row>
    <row r="420" spans="1:6" s="35" customFormat="1" ht="14.65" customHeight="1" x14ac:dyDescent="0.3">
      <c r="A420" s="110" t="str">
        <f>"0917773"</f>
        <v>0917773</v>
      </c>
      <c r="B420" s="172" t="s">
        <v>3337</v>
      </c>
      <c r="C420" s="134" t="str">
        <f>"056327203204"</f>
        <v>056327203204</v>
      </c>
      <c r="D420" s="157" t="s">
        <v>37</v>
      </c>
      <c r="E420" s="172" t="s">
        <v>5</v>
      </c>
      <c r="F420" s="178">
        <v>44216</v>
      </c>
    </row>
    <row r="421" spans="1:6" s="181" customFormat="1" ht="27.95" x14ac:dyDescent="0.3">
      <c r="A421" s="179" t="str">
        <f>"0572313"</f>
        <v>0572313</v>
      </c>
      <c r="B421" s="145" t="s">
        <v>3336</v>
      </c>
      <c r="C421" s="134" t="str">
        <f>"5060006410031"</f>
        <v>5060006410031</v>
      </c>
      <c r="D421" s="19" t="s">
        <v>48</v>
      </c>
      <c r="E421" s="172" t="s">
        <v>3352</v>
      </c>
      <c r="F421" s="180">
        <v>44215</v>
      </c>
    </row>
    <row r="422" spans="1:6" s="35" customFormat="1" ht="14.65" customHeight="1" x14ac:dyDescent="0.3">
      <c r="A422" s="110">
        <v>32458</v>
      </c>
      <c r="B422" s="172" t="s">
        <v>3328</v>
      </c>
      <c r="C422" s="134">
        <v>56910304165</v>
      </c>
      <c r="D422" s="157" t="s">
        <v>106</v>
      </c>
      <c r="E422" s="172" t="s">
        <v>5</v>
      </c>
      <c r="F422" s="178">
        <v>44215</v>
      </c>
    </row>
    <row r="423" spans="1:6" s="35" customFormat="1" ht="14.65" customHeight="1" x14ac:dyDescent="0.3">
      <c r="A423" s="110">
        <v>73361</v>
      </c>
      <c r="B423" s="172" t="s">
        <v>3329</v>
      </c>
      <c r="C423" s="134">
        <v>56910104734</v>
      </c>
      <c r="D423" s="157" t="s">
        <v>25</v>
      </c>
      <c r="E423" s="172" t="s">
        <v>5</v>
      </c>
      <c r="F423" s="178">
        <v>44215</v>
      </c>
    </row>
    <row r="424" spans="1:6" s="35" customFormat="1" ht="14.65" customHeight="1" x14ac:dyDescent="0.3">
      <c r="A424" s="110">
        <v>468462</v>
      </c>
      <c r="B424" s="172" t="s">
        <v>3330</v>
      </c>
      <c r="C424" s="134">
        <v>56910004737</v>
      </c>
      <c r="D424" s="157" t="s">
        <v>25</v>
      </c>
      <c r="E424" s="172" t="s">
        <v>5</v>
      </c>
      <c r="F424" s="178">
        <v>44215</v>
      </c>
    </row>
    <row r="425" spans="1:6" s="35" customFormat="1" ht="14.65" customHeight="1" x14ac:dyDescent="0.3">
      <c r="A425" s="110">
        <v>468470</v>
      </c>
      <c r="B425" s="172" t="s">
        <v>3331</v>
      </c>
      <c r="C425" s="134">
        <v>56910003730</v>
      </c>
      <c r="D425" s="157" t="s">
        <v>25</v>
      </c>
      <c r="E425" s="172" t="s">
        <v>5</v>
      </c>
      <c r="F425" s="178">
        <v>44215</v>
      </c>
    </row>
    <row r="426" spans="1:6" s="35" customFormat="1" ht="14.65" customHeight="1" x14ac:dyDescent="0.3">
      <c r="A426" s="110">
        <v>679571</v>
      </c>
      <c r="B426" s="172" t="s">
        <v>3332</v>
      </c>
      <c r="C426" s="134">
        <v>56910302062</v>
      </c>
      <c r="D426" s="157" t="s">
        <v>106</v>
      </c>
      <c r="E426" s="172" t="s">
        <v>5</v>
      </c>
      <c r="F426" s="178">
        <v>44215</v>
      </c>
    </row>
    <row r="427" spans="1:6" s="35" customFormat="1" ht="14.65" customHeight="1" x14ac:dyDescent="0.3">
      <c r="A427" s="110">
        <v>534933</v>
      </c>
      <c r="B427" s="172" t="s">
        <v>3335</v>
      </c>
      <c r="C427" s="117">
        <v>56910830060</v>
      </c>
      <c r="D427" s="157" t="s">
        <v>106</v>
      </c>
      <c r="E427" s="172" t="s">
        <v>5</v>
      </c>
      <c r="F427" s="178">
        <v>44215</v>
      </c>
    </row>
    <row r="428" spans="1:6" s="35" customFormat="1" ht="14.65" customHeight="1" x14ac:dyDescent="0.3">
      <c r="A428" s="110" t="str">
        <f>"0016441"</f>
        <v>0016441</v>
      </c>
      <c r="B428" s="172" t="s">
        <v>3333</v>
      </c>
      <c r="C428" s="117" t="str">
        <f>"056910140138"</f>
        <v>056910140138</v>
      </c>
      <c r="D428" s="157" t="s">
        <v>25</v>
      </c>
      <c r="E428" s="172" t="s">
        <v>5</v>
      </c>
      <c r="F428" s="178">
        <v>44229</v>
      </c>
    </row>
    <row r="429" spans="1:6" s="35" customFormat="1" ht="14.65" customHeight="1" x14ac:dyDescent="0.3">
      <c r="A429" s="110" t="str">
        <f>"0681411"</f>
        <v>0681411</v>
      </c>
      <c r="B429" s="172" t="s">
        <v>3334</v>
      </c>
      <c r="C429" s="117" t="str">
        <f>"056910230068"</f>
        <v>056910230068</v>
      </c>
      <c r="D429" s="157" t="s">
        <v>106</v>
      </c>
      <c r="E429" s="172" t="s">
        <v>5</v>
      </c>
      <c r="F429" s="178">
        <v>44229</v>
      </c>
    </row>
    <row r="430" spans="1:6" s="35" customFormat="1" ht="14.65" customHeight="1" x14ac:dyDescent="0.3">
      <c r="A430" s="110" t="str">
        <f>"0514778"</f>
        <v>0514778</v>
      </c>
      <c r="B430" s="172" t="s">
        <v>3327</v>
      </c>
      <c r="C430" s="117" t="str">
        <f>"776029703665"</f>
        <v>776029703665</v>
      </c>
      <c r="D430" s="157" t="s">
        <v>25</v>
      </c>
      <c r="E430" s="172" t="s">
        <v>5</v>
      </c>
      <c r="F430" s="178">
        <v>44215</v>
      </c>
    </row>
    <row r="431" spans="1:6" s="35" customFormat="1" ht="14.65" customHeight="1" x14ac:dyDescent="0.3">
      <c r="A431" s="110" t="str">
        <f>"0539981"</f>
        <v>0539981</v>
      </c>
      <c r="B431" s="172" t="s">
        <v>3326</v>
      </c>
      <c r="C431" s="117" t="str">
        <f>"776029702675"</f>
        <v>776029702675</v>
      </c>
      <c r="D431" s="157" t="s">
        <v>106</v>
      </c>
      <c r="E431" s="172" t="s">
        <v>5</v>
      </c>
      <c r="F431" s="178">
        <v>44215</v>
      </c>
    </row>
    <row r="432" spans="1:6" s="35" customFormat="1" ht="14.65" customHeight="1" x14ac:dyDescent="0.3">
      <c r="A432" s="110">
        <v>160994</v>
      </c>
      <c r="B432" s="172" t="s">
        <v>3325</v>
      </c>
      <c r="C432" s="117">
        <v>7798039590342</v>
      </c>
      <c r="D432" s="157" t="s">
        <v>202</v>
      </c>
      <c r="E432" s="172" t="s">
        <v>5</v>
      </c>
      <c r="F432" s="178">
        <v>44215</v>
      </c>
    </row>
    <row r="433" spans="1:6" s="35" customFormat="1" ht="14.65" customHeight="1" x14ac:dyDescent="0.3">
      <c r="A433" s="110">
        <v>586032</v>
      </c>
      <c r="B433" s="172" t="s">
        <v>3324</v>
      </c>
      <c r="C433" s="117">
        <v>48162015715</v>
      </c>
      <c r="D433" s="157" t="s">
        <v>202</v>
      </c>
      <c r="E433" s="172" t="s">
        <v>5</v>
      </c>
      <c r="F433" s="178">
        <v>44215</v>
      </c>
    </row>
    <row r="434" spans="1:6" s="35" customFormat="1" ht="14.65" customHeight="1" x14ac:dyDescent="0.3">
      <c r="A434" s="110">
        <v>586750</v>
      </c>
      <c r="B434" s="172" t="s">
        <v>3119</v>
      </c>
      <c r="C434" s="117">
        <v>48162015722</v>
      </c>
      <c r="D434" s="157" t="s">
        <v>202</v>
      </c>
      <c r="E434" s="172" t="s">
        <v>5</v>
      </c>
      <c r="F434" s="178">
        <v>44215</v>
      </c>
    </row>
    <row r="435" spans="1:6" s="35" customFormat="1" ht="14.65" customHeight="1" x14ac:dyDescent="0.3">
      <c r="A435" s="110">
        <v>291971</v>
      </c>
      <c r="B435" s="172" t="s">
        <v>3322</v>
      </c>
      <c r="C435" s="117">
        <v>183103000310</v>
      </c>
      <c r="D435" s="157" t="s">
        <v>202</v>
      </c>
      <c r="E435" s="172" t="s">
        <v>5</v>
      </c>
      <c r="F435" s="178">
        <v>44215</v>
      </c>
    </row>
    <row r="436" spans="1:6" s="35" customFormat="1" ht="14.65" customHeight="1" x14ac:dyDescent="0.3">
      <c r="A436" s="110">
        <v>11587</v>
      </c>
      <c r="B436" s="172" t="s">
        <v>3323</v>
      </c>
      <c r="C436" s="117">
        <v>3378633150223</v>
      </c>
      <c r="D436" s="157" t="s">
        <v>202</v>
      </c>
      <c r="E436" s="172" t="s">
        <v>5</v>
      </c>
      <c r="F436" s="178">
        <v>44215</v>
      </c>
    </row>
    <row r="437" spans="1:6" s="35" customFormat="1" ht="14.65" customHeight="1" x14ac:dyDescent="0.3">
      <c r="A437" s="110">
        <v>19263</v>
      </c>
      <c r="B437" s="172" t="s">
        <v>3318</v>
      </c>
      <c r="C437" s="117">
        <v>672975229610</v>
      </c>
      <c r="D437" s="157" t="s">
        <v>25</v>
      </c>
      <c r="E437" s="172" t="s">
        <v>5</v>
      </c>
      <c r="F437" s="178">
        <v>44215</v>
      </c>
    </row>
    <row r="438" spans="1:6" s="35" customFormat="1" ht="14.65" customHeight="1" x14ac:dyDescent="0.3">
      <c r="A438" s="110">
        <v>19266</v>
      </c>
      <c r="B438" s="172" t="s">
        <v>3319</v>
      </c>
      <c r="C438" s="117">
        <v>672975229696</v>
      </c>
      <c r="D438" s="157" t="s">
        <v>98</v>
      </c>
      <c r="E438" s="172" t="s">
        <v>5</v>
      </c>
      <c r="F438" s="178">
        <v>44215</v>
      </c>
    </row>
    <row r="439" spans="1:6" s="35" customFormat="1" ht="14.65" customHeight="1" x14ac:dyDescent="0.3">
      <c r="A439" s="110">
        <v>19269</v>
      </c>
      <c r="B439" s="172" t="s">
        <v>3320</v>
      </c>
      <c r="C439" s="117">
        <v>672975229627</v>
      </c>
      <c r="D439" s="157" t="s">
        <v>25</v>
      </c>
      <c r="E439" s="172" t="s">
        <v>5</v>
      </c>
      <c r="F439" s="178">
        <v>44215</v>
      </c>
    </row>
    <row r="440" spans="1:6" s="35" customFormat="1" ht="14.65" customHeight="1" x14ac:dyDescent="0.3">
      <c r="A440" s="110">
        <v>19270</v>
      </c>
      <c r="B440" s="172" t="s">
        <v>3321</v>
      </c>
      <c r="C440" s="117">
        <v>672975229658</v>
      </c>
      <c r="D440" s="157" t="s">
        <v>25</v>
      </c>
      <c r="E440" s="172" t="s">
        <v>5</v>
      </c>
      <c r="F440" s="178">
        <v>44215</v>
      </c>
    </row>
    <row r="441" spans="1:6" s="35" customFormat="1" ht="42.75" customHeight="1" x14ac:dyDescent="0.3">
      <c r="A441" s="33" t="str">
        <f>"0191874"</f>
        <v>0191874</v>
      </c>
      <c r="B441" s="143" t="s">
        <v>656</v>
      </c>
      <c r="C441" s="117" t="str">
        <f>"7501064192081"</f>
        <v>7501064192081</v>
      </c>
      <c r="D441" s="157" t="s">
        <v>25</v>
      </c>
      <c r="E441" s="132" t="s">
        <v>3317</v>
      </c>
      <c r="F441" s="178">
        <v>44235</v>
      </c>
    </row>
    <row r="442" spans="1:6" s="35" customFormat="1" ht="14.65" customHeight="1" x14ac:dyDescent="0.3">
      <c r="A442" s="33">
        <v>498436</v>
      </c>
      <c r="B442" s="172" t="s">
        <v>3311</v>
      </c>
      <c r="C442" s="134">
        <v>62067568138</v>
      </c>
      <c r="D442" s="157" t="s">
        <v>25</v>
      </c>
      <c r="E442" s="172" t="s">
        <v>5</v>
      </c>
      <c r="F442" s="178">
        <v>44222</v>
      </c>
    </row>
    <row r="443" spans="1:6" s="35" customFormat="1" ht="14.65" customHeight="1" x14ac:dyDescent="0.3">
      <c r="A443" s="33">
        <v>511618</v>
      </c>
      <c r="B443" s="172" t="s">
        <v>3312</v>
      </c>
      <c r="C443" s="134">
        <v>62067568107</v>
      </c>
      <c r="D443" s="157" t="s">
        <v>37</v>
      </c>
      <c r="E443" s="172" t="s">
        <v>5</v>
      </c>
      <c r="F443" s="178">
        <v>44222</v>
      </c>
    </row>
    <row r="444" spans="1:6" s="35" customFormat="1" ht="14.65" customHeight="1" x14ac:dyDescent="0.3">
      <c r="A444" s="33">
        <v>10141</v>
      </c>
      <c r="B444" s="172" t="s">
        <v>3313</v>
      </c>
      <c r="C444" s="134">
        <v>62067377396</v>
      </c>
      <c r="D444" s="157" t="s">
        <v>25</v>
      </c>
      <c r="E444" s="172" t="s">
        <v>5</v>
      </c>
      <c r="F444" s="178">
        <v>44222</v>
      </c>
    </row>
    <row r="445" spans="1:6" s="35" customFormat="1" ht="14.65" customHeight="1" x14ac:dyDescent="0.3">
      <c r="A445" s="33">
        <v>667816</v>
      </c>
      <c r="B445" s="172" t="s">
        <v>3313</v>
      </c>
      <c r="C445" s="134">
        <v>62067377372</v>
      </c>
      <c r="D445" s="157" t="s">
        <v>106</v>
      </c>
      <c r="E445" s="172" t="s">
        <v>5</v>
      </c>
      <c r="F445" s="178">
        <v>44222</v>
      </c>
    </row>
    <row r="446" spans="1:6" s="35" customFormat="1" ht="14.65" customHeight="1" x14ac:dyDescent="0.3">
      <c r="A446" s="33">
        <v>572727</v>
      </c>
      <c r="B446" s="172" t="s">
        <v>3314</v>
      </c>
      <c r="C446" s="134">
        <v>62067375514</v>
      </c>
      <c r="D446" s="157" t="s">
        <v>25</v>
      </c>
      <c r="E446" s="172" t="s">
        <v>5</v>
      </c>
      <c r="F446" s="178">
        <v>44222</v>
      </c>
    </row>
    <row r="447" spans="1:6" s="35" customFormat="1" ht="14.65" customHeight="1" x14ac:dyDescent="0.3">
      <c r="A447" s="33">
        <v>575340</v>
      </c>
      <c r="B447" s="172" t="s">
        <v>3315</v>
      </c>
      <c r="C447" s="134">
        <v>62067376382</v>
      </c>
      <c r="D447" s="157" t="s">
        <v>106</v>
      </c>
      <c r="E447" s="172" t="s">
        <v>5</v>
      </c>
      <c r="F447" s="178">
        <v>44222</v>
      </c>
    </row>
    <row r="448" spans="1:6" s="35" customFormat="1" ht="14.65" customHeight="1" x14ac:dyDescent="0.3">
      <c r="A448" s="33">
        <v>575332</v>
      </c>
      <c r="B448" s="172" t="s">
        <v>3316</v>
      </c>
      <c r="C448" s="134">
        <v>62067376375</v>
      </c>
      <c r="D448" s="157" t="s">
        <v>106</v>
      </c>
      <c r="E448" s="172" t="s">
        <v>5</v>
      </c>
      <c r="F448" s="178">
        <v>44205</v>
      </c>
    </row>
    <row r="449" spans="1:6" s="35" customFormat="1" ht="14.65" customHeight="1" x14ac:dyDescent="0.3">
      <c r="A449" s="33" t="str">
        <f>"0929034"</f>
        <v>0929034</v>
      </c>
      <c r="B449" s="172" t="s">
        <v>3310</v>
      </c>
      <c r="C449" s="117" t="str">
        <f>"620707001522"</f>
        <v>620707001522</v>
      </c>
      <c r="D449" s="157" t="s">
        <v>106</v>
      </c>
      <c r="E449" s="172" t="s">
        <v>5</v>
      </c>
      <c r="F449" s="178">
        <v>44222</v>
      </c>
    </row>
    <row r="450" spans="1:6" s="35" customFormat="1" ht="14.65" customHeight="1" x14ac:dyDescent="0.3">
      <c r="A450" s="33" t="str">
        <f>"0017887"</f>
        <v>0017887</v>
      </c>
      <c r="B450" s="172" t="s">
        <v>3309</v>
      </c>
      <c r="C450" s="117" t="str">
        <f>"628669092442"</f>
        <v>628669092442</v>
      </c>
      <c r="D450" s="157" t="s">
        <v>25</v>
      </c>
      <c r="E450" s="172" t="s">
        <v>5</v>
      </c>
      <c r="F450" s="178">
        <v>44222</v>
      </c>
    </row>
    <row r="451" spans="1:6" s="35" customFormat="1" ht="14.65" customHeight="1" x14ac:dyDescent="0.3">
      <c r="A451" s="33" t="str">
        <f>"0570804"</f>
        <v>0570804</v>
      </c>
      <c r="B451" s="172" t="s">
        <v>3308</v>
      </c>
      <c r="C451" s="117" t="str">
        <f>"628055774105"</f>
        <v>628055774105</v>
      </c>
      <c r="D451" s="157" t="s">
        <v>25</v>
      </c>
      <c r="E451" s="172" t="s">
        <v>5</v>
      </c>
      <c r="F451" s="178">
        <v>44222</v>
      </c>
    </row>
    <row r="452" spans="1:6" s="35" customFormat="1" ht="14.65" customHeight="1" x14ac:dyDescent="0.3">
      <c r="A452" s="33">
        <v>492488</v>
      </c>
      <c r="B452" s="172" t="s">
        <v>3306</v>
      </c>
      <c r="C452" s="117">
        <v>777081127086</v>
      </c>
      <c r="D452" s="157" t="s">
        <v>3307</v>
      </c>
      <c r="E452" s="172" t="s">
        <v>5</v>
      </c>
      <c r="F452" s="178">
        <v>44222</v>
      </c>
    </row>
    <row r="453" spans="1:6" s="35" customFormat="1" ht="14.65" customHeight="1" x14ac:dyDescent="0.3">
      <c r="A453" s="33" t="str">
        <f>"576835"</f>
        <v>576835</v>
      </c>
      <c r="B453" s="172" t="s">
        <v>3305</v>
      </c>
      <c r="C453" s="117" t="str">
        <f>"627843695523"</f>
        <v>627843695523</v>
      </c>
      <c r="D453" s="157" t="s">
        <v>25</v>
      </c>
      <c r="E453" s="172" t="s">
        <v>5</v>
      </c>
      <c r="F453" s="178">
        <v>44215</v>
      </c>
    </row>
    <row r="454" spans="1:6" s="35" customFormat="1" ht="14.65" customHeight="1" x14ac:dyDescent="0.3">
      <c r="A454" s="33" t="str">
        <f>"16892"</f>
        <v>16892</v>
      </c>
      <c r="B454" s="172" t="s">
        <v>3304</v>
      </c>
      <c r="C454" s="117" t="str">
        <f>"621433028043"</f>
        <v>621433028043</v>
      </c>
      <c r="D454" s="157" t="s">
        <v>124</v>
      </c>
      <c r="E454" s="172" t="s">
        <v>5</v>
      </c>
      <c r="F454" s="178">
        <v>44215</v>
      </c>
    </row>
    <row r="455" spans="1:6" s="35" customFormat="1" ht="29.7" customHeight="1" x14ac:dyDescent="0.3">
      <c r="A455" s="33" t="str">
        <f>"639567"</f>
        <v>639567</v>
      </c>
      <c r="B455" s="143" t="s">
        <v>3302</v>
      </c>
      <c r="C455" s="117" t="str">
        <f>"628113006315"</f>
        <v>628113006315</v>
      </c>
      <c r="D455" s="157" t="s">
        <v>48</v>
      </c>
      <c r="E455" s="132" t="s">
        <v>3303</v>
      </c>
      <c r="F455" s="178">
        <v>44215</v>
      </c>
    </row>
    <row r="456" spans="1:6" s="35" customFormat="1" ht="14.65" customHeight="1" x14ac:dyDescent="0.3">
      <c r="A456" s="33">
        <v>468876</v>
      </c>
      <c r="B456" s="172" t="s">
        <v>3301</v>
      </c>
      <c r="C456" s="117">
        <v>48162014374</v>
      </c>
      <c r="D456" s="157" t="s">
        <v>202</v>
      </c>
      <c r="E456" s="172" t="s">
        <v>5</v>
      </c>
      <c r="F456" s="178" t="s">
        <v>3281</v>
      </c>
    </row>
    <row r="457" spans="1:6" s="35" customFormat="1" ht="14.65" customHeight="1" x14ac:dyDescent="0.3">
      <c r="A457" s="33">
        <v>310433</v>
      </c>
      <c r="B457" s="170" t="s">
        <v>3300</v>
      </c>
      <c r="C457" s="131">
        <v>779315294786</v>
      </c>
      <c r="D457" s="157" t="s">
        <v>202</v>
      </c>
      <c r="E457" s="172" t="s">
        <v>5</v>
      </c>
      <c r="F457" s="178" t="s">
        <v>3281</v>
      </c>
    </row>
    <row r="458" spans="1:6" s="35" customFormat="1" ht="14.65" customHeight="1" x14ac:dyDescent="0.3">
      <c r="A458" s="33">
        <v>575639</v>
      </c>
      <c r="B458" s="172" t="s">
        <v>3299</v>
      </c>
      <c r="C458" s="117">
        <v>776545600028</v>
      </c>
      <c r="D458" s="157" t="s">
        <v>202</v>
      </c>
      <c r="E458" s="172" t="s">
        <v>5</v>
      </c>
      <c r="F458" s="178" t="s">
        <v>3281</v>
      </c>
    </row>
    <row r="459" spans="1:6" s="35" customFormat="1" ht="29.7" customHeight="1" x14ac:dyDescent="0.3">
      <c r="A459" s="33">
        <v>284570</v>
      </c>
      <c r="B459" s="143" t="s">
        <v>3297</v>
      </c>
      <c r="C459" s="117">
        <v>670459010662</v>
      </c>
      <c r="D459" s="157" t="s">
        <v>202</v>
      </c>
      <c r="E459" s="132" t="s">
        <v>3298</v>
      </c>
      <c r="F459" s="178" t="s">
        <v>3290</v>
      </c>
    </row>
    <row r="460" spans="1:6" s="35" customFormat="1" ht="14.65" customHeight="1" x14ac:dyDescent="0.3">
      <c r="A460" s="33">
        <v>45617</v>
      </c>
      <c r="B460" s="172" t="s">
        <v>3289</v>
      </c>
      <c r="C460" s="117">
        <v>777081725053</v>
      </c>
      <c r="D460" s="157" t="s">
        <v>202</v>
      </c>
      <c r="E460" s="172" t="s">
        <v>5</v>
      </c>
      <c r="F460" s="178" t="s">
        <v>3290</v>
      </c>
    </row>
    <row r="461" spans="1:6" s="35" customFormat="1" ht="14.65" customHeight="1" x14ac:dyDescent="0.3">
      <c r="A461" s="33">
        <v>433516</v>
      </c>
      <c r="B461" s="172" t="s">
        <v>3285</v>
      </c>
      <c r="C461" s="120" t="s">
        <v>3286</v>
      </c>
      <c r="D461" s="157" t="s">
        <v>37</v>
      </c>
      <c r="E461" s="172" t="s">
        <v>5</v>
      </c>
      <c r="F461" s="178" t="s">
        <v>3281</v>
      </c>
    </row>
    <row r="462" spans="1:6" ht="30.65" customHeight="1" x14ac:dyDescent="0.3">
      <c r="A462" s="33">
        <v>370361</v>
      </c>
      <c r="B462" s="172" t="s">
        <v>3282</v>
      </c>
      <c r="C462" s="159">
        <v>670459010334</v>
      </c>
      <c r="D462" s="157" t="s">
        <v>202</v>
      </c>
      <c r="E462" s="132" t="s">
        <v>3283</v>
      </c>
      <c r="F462" s="178" t="s">
        <v>3281</v>
      </c>
    </row>
    <row r="463" spans="1:6" x14ac:dyDescent="0.3">
      <c r="A463" s="4">
        <v>17641</v>
      </c>
      <c r="B463" s="172" t="s">
        <v>3366</v>
      </c>
      <c r="C463" s="182">
        <v>856217001299</v>
      </c>
      <c r="D463" s="19" t="s">
        <v>25</v>
      </c>
      <c r="E463" s="172" t="s">
        <v>3370</v>
      </c>
      <c r="F463" s="183">
        <v>44239</v>
      </c>
    </row>
    <row r="464" spans="1:6" x14ac:dyDescent="0.3">
      <c r="A464" s="157" t="str">
        <f>"0421412"</f>
        <v>0421412</v>
      </c>
      <c r="B464" s="172" t="s">
        <v>3030</v>
      </c>
      <c r="C464" s="182" t="str">
        <f>"052338000016"</f>
        <v>052338000016</v>
      </c>
      <c r="D464" s="19" t="s">
        <v>25</v>
      </c>
      <c r="E464" s="172" t="s">
        <v>3368</v>
      </c>
      <c r="F464" s="183">
        <v>44244</v>
      </c>
    </row>
  </sheetData>
  <autoFilter ref="A3:F464" xr:uid="{00000000-0001-0000-0000-000000000000}"/>
  <printOptions gridLines="1"/>
  <pageMargins left="0" right="0" top="0.5" bottom="0.5" header="0.3" footer="0.3"/>
  <pageSetup paperSize="5" scale="86" fitToWidth="0" fitToHeight="0" orientation="landscape" horizontalDpi="300" verticalDpi="300" r:id="rId1"/>
  <headerFooter>
    <oddHeader>&amp;R&amp;D</oddHeader>
  </headerFooter>
  <ignoredErrors>
    <ignoredError sqref="C461 C406 C381 C264 C230 A176 C166 C161 C152 C150 C134 C10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H798"/>
  <sheetViews>
    <sheetView zoomScale="80" zoomScaleNormal="80" workbookViewId="0">
      <selection activeCell="E90" sqref="E90"/>
    </sheetView>
  </sheetViews>
  <sheetFormatPr defaultColWidth="9.09765625" defaultRowHeight="14" x14ac:dyDescent="0.3"/>
  <cols>
    <col min="1" max="1" width="10.3984375" style="4" customWidth="1"/>
    <col min="2" max="2" width="54.3984375" style="64" bestFit="1" customWidth="1"/>
    <col min="3" max="3" width="18.09765625" style="23" customWidth="1"/>
    <col min="4" max="4" width="8.8984375" style="4" customWidth="1"/>
    <col min="5" max="5" width="87.8984375" style="64" customWidth="1"/>
    <col min="6" max="6" width="16.8984375" style="1" bestFit="1" customWidth="1"/>
    <col min="7" max="7" width="24.09765625" style="64" customWidth="1"/>
    <col min="8" max="8" width="18.3984375" style="64" bestFit="1" customWidth="1"/>
    <col min="9" max="16384" width="9.09765625" style="64"/>
  </cols>
  <sheetData>
    <row r="1" spans="1:8" ht="19.75" customHeight="1" x14ac:dyDescent="0.3">
      <c r="A1" s="28" t="s">
        <v>0</v>
      </c>
      <c r="D1" s="116"/>
      <c r="E1" s="59"/>
    </row>
    <row r="2" spans="1:8" s="139" customFormat="1" ht="18.8" customHeight="1" x14ac:dyDescent="0.3">
      <c r="A2" s="64"/>
      <c r="B2" s="64"/>
      <c r="C2" s="64"/>
      <c r="D2" s="64"/>
      <c r="E2" s="177"/>
      <c r="F2" s="64"/>
      <c r="G2" s="64"/>
      <c r="H2" s="64"/>
    </row>
    <row r="3" spans="1:8" ht="30.65" customHeight="1" x14ac:dyDescent="0.3">
      <c r="A3" s="27" t="s">
        <v>1</v>
      </c>
      <c r="B3" s="92" t="s">
        <v>2</v>
      </c>
      <c r="C3" s="92" t="s">
        <v>23</v>
      </c>
      <c r="D3" s="92" t="s">
        <v>3</v>
      </c>
      <c r="E3" s="113" t="s">
        <v>17</v>
      </c>
      <c r="F3" s="93" t="s">
        <v>4</v>
      </c>
    </row>
    <row r="4" spans="1:8" ht="30.65" hidden="1" customHeight="1" x14ac:dyDescent="0.3">
      <c r="A4" s="33">
        <v>15175</v>
      </c>
      <c r="B4" s="119" t="s">
        <v>3294</v>
      </c>
      <c r="C4" s="120" t="s">
        <v>3295</v>
      </c>
      <c r="D4" s="175" t="s">
        <v>25</v>
      </c>
      <c r="E4" s="170" t="s">
        <v>3296</v>
      </c>
      <c r="F4" s="171">
        <v>44190</v>
      </c>
    </row>
    <row r="5" spans="1:8" s="35" customFormat="1" ht="30.65" hidden="1" customHeight="1" x14ac:dyDescent="0.3">
      <c r="A5" s="33">
        <v>628875</v>
      </c>
      <c r="B5" s="119" t="s">
        <v>3292</v>
      </c>
      <c r="C5" s="120" t="s">
        <v>3293</v>
      </c>
      <c r="D5" s="175" t="s">
        <v>25</v>
      </c>
      <c r="E5" s="132" t="s">
        <v>3291</v>
      </c>
      <c r="F5" s="171">
        <v>44188</v>
      </c>
    </row>
    <row r="6" spans="1:8" ht="30.65" hidden="1" customHeight="1" x14ac:dyDescent="0.3">
      <c r="A6" s="174" t="str">
        <f>"0460634"</f>
        <v>0460634</v>
      </c>
      <c r="B6" s="172" t="s">
        <v>3284</v>
      </c>
      <c r="C6" s="159" t="str">
        <f>"062067202025"</f>
        <v>062067202025</v>
      </c>
      <c r="D6" s="175" t="s">
        <v>98</v>
      </c>
      <c r="E6" s="132" t="s">
        <v>3287</v>
      </c>
      <c r="F6" s="171">
        <v>44186</v>
      </c>
    </row>
    <row r="7" spans="1:8" ht="30.65" hidden="1" customHeight="1" x14ac:dyDescent="0.3">
      <c r="A7" s="174" t="str">
        <f>"0308403"</f>
        <v>0308403</v>
      </c>
      <c r="B7" s="172" t="s">
        <v>2951</v>
      </c>
      <c r="C7" s="159" t="str">
        <f>"4004866222312"</f>
        <v>4004866222312</v>
      </c>
      <c r="D7" s="175" t="s">
        <v>48</v>
      </c>
      <c r="E7" s="172" t="s">
        <v>3280</v>
      </c>
      <c r="F7" s="171">
        <v>44181</v>
      </c>
    </row>
    <row r="8" spans="1:8" s="39" customFormat="1" hidden="1" x14ac:dyDescent="0.3">
      <c r="A8" s="174" t="str">
        <f>"0467324"</f>
        <v>0467324</v>
      </c>
      <c r="B8" s="143" t="s">
        <v>3278</v>
      </c>
      <c r="C8" s="159" t="str">
        <f>"012652000024"</f>
        <v>012652000024</v>
      </c>
      <c r="D8" s="175" t="s">
        <v>25</v>
      </c>
      <c r="E8" s="170" t="s">
        <v>3279</v>
      </c>
      <c r="F8" s="171">
        <v>44181</v>
      </c>
    </row>
    <row r="9" spans="1:8" s="39" customFormat="1" hidden="1" x14ac:dyDescent="0.3">
      <c r="A9" s="174" t="str">
        <f>"0622951"</f>
        <v>0622951</v>
      </c>
      <c r="B9" s="143" t="s">
        <v>3277</v>
      </c>
      <c r="C9" s="159" t="str">
        <f>"628113006360"</f>
        <v>628113006360</v>
      </c>
      <c r="D9" s="175" t="s">
        <v>48</v>
      </c>
      <c r="E9" s="170" t="s">
        <v>5</v>
      </c>
      <c r="F9" s="171">
        <v>44194</v>
      </c>
    </row>
    <row r="10" spans="1:8" s="39" customFormat="1" hidden="1" x14ac:dyDescent="0.3">
      <c r="A10" s="174">
        <v>11620</v>
      </c>
      <c r="B10" s="143" t="s">
        <v>3269</v>
      </c>
      <c r="C10" s="176">
        <v>81288500086</v>
      </c>
      <c r="D10" s="175" t="s">
        <v>555</v>
      </c>
      <c r="E10" s="170" t="s">
        <v>3274</v>
      </c>
      <c r="F10" s="171">
        <v>44180</v>
      </c>
    </row>
    <row r="11" spans="1:8" s="39" customFormat="1" hidden="1" x14ac:dyDescent="0.3">
      <c r="A11" s="174">
        <v>140707</v>
      </c>
      <c r="B11" s="143" t="s">
        <v>3270</v>
      </c>
      <c r="C11" s="176">
        <v>81288500055</v>
      </c>
      <c r="D11" s="175" t="s">
        <v>1739</v>
      </c>
      <c r="E11" s="170" t="s">
        <v>3275</v>
      </c>
      <c r="F11" s="171">
        <v>44180</v>
      </c>
    </row>
    <row r="12" spans="1:8" s="39" customFormat="1" hidden="1" x14ac:dyDescent="0.3">
      <c r="A12" s="174">
        <v>330969</v>
      </c>
      <c r="B12" s="143" t="s">
        <v>3271</v>
      </c>
      <c r="C12" s="176">
        <v>81288500116</v>
      </c>
      <c r="D12" s="175" t="s">
        <v>1620</v>
      </c>
      <c r="E12" s="170" t="s">
        <v>3276</v>
      </c>
      <c r="F12" s="171">
        <v>44180</v>
      </c>
    </row>
    <row r="13" spans="1:8" s="39" customFormat="1" hidden="1" x14ac:dyDescent="0.3">
      <c r="A13" s="174">
        <v>523373</v>
      </c>
      <c r="B13" s="143" t="s">
        <v>3272</v>
      </c>
      <c r="C13" s="176">
        <v>81288500444</v>
      </c>
      <c r="D13" s="175" t="s">
        <v>25</v>
      </c>
      <c r="E13" s="170" t="s">
        <v>3273</v>
      </c>
      <c r="F13" s="171">
        <v>44180</v>
      </c>
    </row>
    <row r="14" spans="1:8" ht="30.65" hidden="1" customHeight="1" x14ac:dyDescent="0.3">
      <c r="A14" s="174" t="str">
        <f>"0418590"</f>
        <v>0418590</v>
      </c>
      <c r="B14" s="172" t="s">
        <v>3213</v>
      </c>
      <c r="C14" s="159" t="str">
        <f>"7501064196331"</f>
        <v>7501064196331</v>
      </c>
      <c r="D14" s="175" t="s">
        <v>37</v>
      </c>
      <c r="E14" s="172" t="s">
        <v>3268</v>
      </c>
      <c r="F14" s="171">
        <v>44140</v>
      </c>
    </row>
    <row r="15" spans="1:8" s="39" customFormat="1" hidden="1" x14ac:dyDescent="0.3">
      <c r="A15" s="174">
        <v>143164</v>
      </c>
      <c r="B15" s="143" t="s">
        <v>3267</v>
      </c>
      <c r="C15" s="159">
        <v>8028262000141</v>
      </c>
      <c r="D15" s="175" t="s">
        <v>202</v>
      </c>
      <c r="E15" s="170" t="s">
        <v>5</v>
      </c>
      <c r="F15" s="171">
        <v>44180</v>
      </c>
    </row>
    <row r="16" spans="1:8" s="39" customFormat="1" hidden="1" x14ac:dyDescent="0.3">
      <c r="A16" s="174">
        <v>457101</v>
      </c>
      <c r="B16" s="143" t="s">
        <v>3262</v>
      </c>
      <c r="C16" s="159">
        <v>6001496309541</v>
      </c>
      <c r="D16" s="175" t="s">
        <v>202</v>
      </c>
      <c r="E16" s="170" t="s">
        <v>5</v>
      </c>
      <c r="F16" s="171">
        <v>44180</v>
      </c>
    </row>
    <row r="17" spans="1:6" s="39" customFormat="1" hidden="1" x14ac:dyDescent="0.3">
      <c r="A17" s="174">
        <v>634808</v>
      </c>
      <c r="B17" s="143" t="s">
        <v>3263</v>
      </c>
      <c r="C17" s="159">
        <v>718742000027</v>
      </c>
      <c r="D17" s="175" t="s">
        <v>202</v>
      </c>
      <c r="E17" s="170" t="s">
        <v>5</v>
      </c>
      <c r="F17" s="171">
        <v>44180</v>
      </c>
    </row>
    <row r="18" spans="1:6" s="39" customFormat="1" hidden="1" x14ac:dyDescent="0.3">
      <c r="A18" s="174">
        <v>611509</v>
      </c>
      <c r="B18" s="143" t="s">
        <v>3264</v>
      </c>
      <c r="C18" s="159">
        <v>98137000161</v>
      </c>
      <c r="D18" s="175" t="s">
        <v>202</v>
      </c>
      <c r="E18" s="170" t="s">
        <v>5</v>
      </c>
      <c r="F18" s="171">
        <v>44180</v>
      </c>
    </row>
    <row r="19" spans="1:6" s="39" customFormat="1" hidden="1" x14ac:dyDescent="0.3">
      <c r="A19" s="174">
        <v>445882</v>
      </c>
      <c r="B19" s="143" t="s">
        <v>3265</v>
      </c>
      <c r="C19" s="159">
        <v>7808725402252</v>
      </c>
      <c r="D19" s="175" t="s">
        <v>202</v>
      </c>
      <c r="E19" s="170" t="s">
        <v>5</v>
      </c>
      <c r="F19" s="171">
        <v>44180</v>
      </c>
    </row>
    <row r="20" spans="1:6" s="39" customFormat="1" hidden="1" x14ac:dyDescent="0.3">
      <c r="A20" s="174">
        <v>508606</v>
      </c>
      <c r="B20" s="143" t="s">
        <v>3266</v>
      </c>
      <c r="C20" s="159">
        <v>48162015418</v>
      </c>
      <c r="D20" s="175" t="s">
        <v>202</v>
      </c>
      <c r="E20" s="170" t="s">
        <v>5</v>
      </c>
      <c r="F20" s="171">
        <v>44180</v>
      </c>
    </row>
    <row r="21" spans="1:6" s="39" customFormat="1" hidden="1" x14ac:dyDescent="0.3">
      <c r="A21" s="174">
        <v>461533</v>
      </c>
      <c r="B21" s="143" t="s">
        <v>3261</v>
      </c>
      <c r="C21" s="159">
        <v>9311218003464</v>
      </c>
      <c r="D21" s="175" t="s">
        <v>202</v>
      </c>
      <c r="E21" s="170" t="s">
        <v>5</v>
      </c>
      <c r="F21" s="171">
        <v>44194</v>
      </c>
    </row>
    <row r="22" spans="1:6" s="39" customFormat="1" hidden="1" x14ac:dyDescent="0.3">
      <c r="A22" s="174" t="str">
        <f>"0550764"</f>
        <v>0550764</v>
      </c>
      <c r="B22" s="143" t="s">
        <v>33</v>
      </c>
      <c r="C22" s="159" t="str">
        <f>"7501064196102"</f>
        <v>7501064196102</v>
      </c>
      <c r="D22" s="175" t="s">
        <v>34</v>
      </c>
      <c r="E22" s="170" t="s">
        <v>3260</v>
      </c>
      <c r="F22" s="171">
        <v>44180</v>
      </c>
    </row>
    <row r="23" spans="1:6" s="39" customFormat="1" hidden="1" x14ac:dyDescent="0.3">
      <c r="A23" s="174" t="str">
        <f>"0016223"</f>
        <v>0016223</v>
      </c>
      <c r="B23" s="143" t="s">
        <v>3259</v>
      </c>
      <c r="C23" s="159" t="str">
        <f>"628250784336"</f>
        <v>628250784336</v>
      </c>
      <c r="D23" s="175" t="s">
        <v>1620</v>
      </c>
      <c r="E23" s="170" t="s">
        <v>5</v>
      </c>
      <c r="F23" s="171">
        <v>44175</v>
      </c>
    </row>
    <row r="24" spans="1:6" s="39" customFormat="1" hidden="1" x14ac:dyDescent="0.3">
      <c r="A24" s="174" t="str">
        <f>"0017823"</f>
        <v>0017823</v>
      </c>
      <c r="B24" s="143" t="s">
        <v>3257</v>
      </c>
      <c r="C24" s="159">
        <v>62067382222</v>
      </c>
      <c r="D24" s="175" t="s">
        <v>29</v>
      </c>
      <c r="E24" s="170" t="s">
        <v>3258</v>
      </c>
      <c r="F24" s="171">
        <v>44133</v>
      </c>
    </row>
    <row r="25" spans="1:6" s="39" customFormat="1" hidden="1" x14ac:dyDescent="0.3">
      <c r="A25" s="174">
        <v>281311</v>
      </c>
      <c r="B25" s="143" t="s">
        <v>3256</v>
      </c>
      <c r="C25" s="159">
        <v>6001660004463</v>
      </c>
      <c r="D25" s="175" t="s">
        <v>202</v>
      </c>
      <c r="E25" s="170" t="s">
        <v>5</v>
      </c>
      <c r="F25" s="171">
        <v>44166</v>
      </c>
    </row>
    <row r="26" spans="1:6" s="39" customFormat="1" hidden="1" x14ac:dyDescent="0.3">
      <c r="A26" s="174">
        <v>222299</v>
      </c>
      <c r="B26" s="143" t="s">
        <v>3255</v>
      </c>
      <c r="C26" s="159">
        <v>6001660000588</v>
      </c>
      <c r="D26" s="175" t="s">
        <v>202</v>
      </c>
      <c r="E26" s="170" t="s">
        <v>5</v>
      </c>
      <c r="F26" s="171">
        <v>44180</v>
      </c>
    </row>
    <row r="27" spans="1:6" s="39" customFormat="1" hidden="1" x14ac:dyDescent="0.3">
      <c r="A27" s="174">
        <v>15515</v>
      </c>
      <c r="B27" s="143" t="s">
        <v>3254</v>
      </c>
      <c r="C27" s="159">
        <v>627987198737</v>
      </c>
      <c r="D27" s="175" t="s">
        <v>2770</v>
      </c>
      <c r="E27" s="170" t="s">
        <v>5</v>
      </c>
      <c r="F27" s="171">
        <v>44166</v>
      </c>
    </row>
    <row r="28" spans="1:6" s="39" customFormat="1" hidden="1" x14ac:dyDescent="0.3">
      <c r="A28" s="174" t="str">
        <f>"0617720"</f>
        <v>0617720</v>
      </c>
      <c r="B28" s="143" t="s">
        <v>3253</v>
      </c>
      <c r="C28" s="159" t="str">
        <f>"7501064196126"</f>
        <v>7501064196126</v>
      </c>
      <c r="D28" s="175" t="s">
        <v>29</v>
      </c>
      <c r="E28" s="132" t="s">
        <v>3218</v>
      </c>
      <c r="F28" s="171">
        <v>44180</v>
      </c>
    </row>
    <row r="29" spans="1:6" s="39" customFormat="1" ht="27.95" hidden="1" x14ac:dyDescent="0.3">
      <c r="A29" s="174">
        <v>499384</v>
      </c>
      <c r="B29" s="143" t="s">
        <v>3251</v>
      </c>
      <c r="C29" s="159">
        <v>653341690500</v>
      </c>
      <c r="D29" s="175" t="s">
        <v>202</v>
      </c>
      <c r="E29" s="132" t="s">
        <v>3252</v>
      </c>
      <c r="F29" s="171">
        <v>44180</v>
      </c>
    </row>
    <row r="30" spans="1:6" s="39" customFormat="1" hidden="1" x14ac:dyDescent="0.3">
      <c r="A30" s="174">
        <v>15760</v>
      </c>
      <c r="B30" s="143" t="s">
        <v>3250</v>
      </c>
      <c r="C30" s="159">
        <v>81308003535</v>
      </c>
      <c r="D30" s="175" t="s">
        <v>202</v>
      </c>
      <c r="E30" s="170" t="s">
        <v>5</v>
      </c>
      <c r="F30" s="171">
        <v>44180</v>
      </c>
    </row>
    <row r="31" spans="1:6" s="39" customFormat="1" hidden="1" x14ac:dyDescent="0.3">
      <c r="A31" s="174" t="str">
        <f>"0039651"</f>
        <v>0039651</v>
      </c>
      <c r="B31" s="143" t="s">
        <v>450</v>
      </c>
      <c r="C31" s="159" t="str">
        <f>"056910234738"</f>
        <v>056910234738</v>
      </c>
      <c r="D31" s="175" t="s">
        <v>25</v>
      </c>
      <c r="E31" s="170" t="s">
        <v>5</v>
      </c>
      <c r="F31" s="171">
        <v>44180</v>
      </c>
    </row>
    <row r="32" spans="1:6" s="39" customFormat="1" ht="14.1" hidden="1" customHeight="1" x14ac:dyDescent="0.3">
      <c r="A32" s="174" t="str">
        <f>"0015456"</f>
        <v>0015456</v>
      </c>
      <c r="B32" s="143" t="s">
        <v>3249</v>
      </c>
      <c r="C32" s="159" t="str">
        <f>"628055324157"</f>
        <v>628055324157</v>
      </c>
      <c r="D32" s="175" t="s">
        <v>37</v>
      </c>
      <c r="E32" s="170" t="s">
        <v>5</v>
      </c>
      <c r="F32" s="171">
        <v>44180</v>
      </c>
    </row>
    <row r="33" spans="1:6" s="39" customFormat="1" hidden="1" x14ac:dyDescent="0.3">
      <c r="A33" s="174" t="str">
        <f>"0015496"</f>
        <v>0015496</v>
      </c>
      <c r="B33" s="143" t="s">
        <v>3248</v>
      </c>
      <c r="C33" s="159" t="str">
        <f>"855315005574"</f>
        <v>855315005574</v>
      </c>
      <c r="D33" s="175" t="s">
        <v>98</v>
      </c>
      <c r="E33" s="170" t="s">
        <v>5</v>
      </c>
      <c r="F33" s="171">
        <v>44180</v>
      </c>
    </row>
    <row r="34" spans="1:6" s="39" customFormat="1" hidden="1" x14ac:dyDescent="0.3">
      <c r="A34" s="174">
        <v>16769</v>
      </c>
      <c r="B34" s="143" t="s">
        <v>3247</v>
      </c>
      <c r="C34" s="159">
        <v>856217001329</v>
      </c>
      <c r="D34" s="175" t="s">
        <v>25</v>
      </c>
      <c r="E34" s="170" t="s">
        <v>5</v>
      </c>
      <c r="F34" s="171">
        <v>44180</v>
      </c>
    </row>
    <row r="35" spans="1:6" s="39" customFormat="1" hidden="1" x14ac:dyDescent="0.3">
      <c r="A35" s="174">
        <v>479030</v>
      </c>
      <c r="B35" s="143" t="s">
        <v>241</v>
      </c>
      <c r="C35" s="159">
        <v>856217000193</v>
      </c>
      <c r="D35" s="175" t="s">
        <v>25</v>
      </c>
      <c r="E35" s="170" t="s">
        <v>5</v>
      </c>
      <c r="F35" s="171">
        <v>44180</v>
      </c>
    </row>
    <row r="36" spans="1:6" s="39" customFormat="1" hidden="1" x14ac:dyDescent="0.3">
      <c r="A36" s="174">
        <v>17141</v>
      </c>
      <c r="B36" s="143" t="s">
        <v>3246</v>
      </c>
      <c r="C36" s="159" t="str">
        <f>"812339000862"</f>
        <v>812339000862</v>
      </c>
      <c r="D36" s="175" t="s">
        <v>2702</v>
      </c>
      <c r="E36" s="170" t="s">
        <v>5</v>
      </c>
      <c r="F36" s="171">
        <v>44180</v>
      </c>
    </row>
    <row r="37" spans="1:6" s="39" customFormat="1" hidden="1" x14ac:dyDescent="0.3">
      <c r="A37" s="174">
        <v>551762</v>
      </c>
      <c r="B37" s="143" t="s">
        <v>3243</v>
      </c>
      <c r="C37" s="159">
        <v>628055555063</v>
      </c>
      <c r="D37" s="175" t="s">
        <v>48</v>
      </c>
      <c r="E37" s="170" t="s">
        <v>5</v>
      </c>
      <c r="F37" s="171">
        <v>44161</v>
      </c>
    </row>
    <row r="38" spans="1:6" s="39" customFormat="1" hidden="1" x14ac:dyDescent="0.3">
      <c r="A38" s="174">
        <v>618454</v>
      </c>
      <c r="B38" s="143" t="s">
        <v>3245</v>
      </c>
      <c r="C38" s="159">
        <v>628055555520</v>
      </c>
      <c r="D38" s="175" t="s">
        <v>25</v>
      </c>
      <c r="E38" s="170" t="s">
        <v>5</v>
      </c>
      <c r="F38" s="171">
        <v>44161</v>
      </c>
    </row>
    <row r="39" spans="1:6" s="39" customFormat="1" hidden="1" x14ac:dyDescent="0.3">
      <c r="A39" s="174">
        <v>617639</v>
      </c>
      <c r="B39" s="143" t="s">
        <v>3244</v>
      </c>
      <c r="C39" s="159">
        <v>628055555506</v>
      </c>
      <c r="D39" s="175" t="s">
        <v>25</v>
      </c>
      <c r="E39" s="170" t="s">
        <v>5</v>
      </c>
      <c r="F39" s="171">
        <v>44180</v>
      </c>
    </row>
    <row r="40" spans="1:6" s="39" customFormat="1" hidden="1" x14ac:dyDescent="0.3">
      <c r="A40" s="158">
        <v>11081</v>
      </c>
      <c r="B40" s="143" t="s">
        <v>3242</v>
      </c>
      <c r="C40" s="159">
        <v>832136001794</v>
      </c>
      <c r="D40" s="175" t="s">
        <v>202</v>
      </c>
      <c r="E40" s="170" t="s">
        <v>5</v>
      </c>
      <c r="F40" s="171">
        <v>44166</v>
      </c>
    </row>
    <row r="41" spans="1:6" s="39" customFormat="1" hidden="1" x14ac:dyDescent="0.3">
      <c r="A41" s="158">
        <v>621995</v>
      </c>
      <c r="B41" s="143" t="s">
        <v>3241</v>
      </c>
      <c r="C41" s="159">
        <v>3500610014789</v>
      </c>
      <c r="D41" s="175" t="s">
        <v>202</v>
      </c>
      <c r="E41" s="170" t="s">
        <v>5</v>
      </c>
      <c r="F41" s="171">
        <v>44159</v>
      </c>
    </row>
    <row r="42" spans="1:6" s="39" customFormat="1" hidden="1" x14ac:dyDescent="0.3">
      <c r="A42" s="158">
        <v>648584</v>
      </c>
      <c r="B42" s="143" t="s">
        <v>3239</v>
      </c>
      <c r="C42" s="159">
        <v>727530562623</v>
      </c>
      <c r="D42" s="175" t="s">
        <v>202</v>
      </c>
      <c r="E42" s="170" t="s">
        <v>5</v>
      </c>
      <c r="F42" s="171">
        <v>44159</v>
      </c>
    </row>
    <row r="43" spans="1:6" s="39" customFormat="1" hidden="1" x14ac:dyDescent="0.3">
      <c r="A43" s="158">
        <v>556894</v>
      </c>
      <c r="B43" s="143" t="s">
        <v>3240</v>
      </c>
      <c r="C43" s="159">
        <v>727530555809</v>
      </c>
      <c r="D43" s="175" t="s">
        <v>202</v>
      </c>
      <c r="E43" s="170" t="s">
        <v>5</v>
      </c>
      <c r="F43" s="171">
        <v>44159</v>
      </c>
    </row>
    <row r="44" spans="1:6" s="39" customFormat="1" hidden="1" x14ac:dyDescent="0.3">
      <c r="A44" s="158" t="str">
        <f>"0485367"</f>
        <v>0485367</v>
      </c>
      <c r="B44" s="143" t="s">
        <v>3238</v>
      </c>
      <c r="C44" s="159" t="str">
        <f>"625640151419"</f>
        <v>625640151419</v>
      </c>
      <c r="D44" s="175" t="s">
        <v>25</v>
      </c>
      <c r="E44" s="170" t="s">
        <v>5</v>
      </c>
      <c r="F44" s="171">
        <v>44173</v>
      </c>
    </row>
    <row r="45" spans="1:6" s="39" customFormat="1" ht="27.95" hidden="1" x14ac:dyDescent="0.3">
      <c r="A45" s="158">
        <v>613059</v>
      </c>
      <c r="B45" s="143" t="s">
        <v>3236</v>
      </c>
      <c r="C45" s="159">
        <v>874537090144</v>
      </c>
      <c r="D45" s="175" t="s">
        <v>202</v>
      </c>
      <c r="E45" s="132" t="s">
        <v>3237</v>
      </c>
      <c r="F45" s="171">
        <v>44159</v>
      </c>
    </row>
    <row r="46" spans="1:6" s="39" customFormat="1" hidden="1" x14ac:dyDescent="0.3">
      <c r="A46" s="158" t="str">
        <f>"0518274"</f>
        <v>0518274</v>
      </c>
      <c r="B46" s="143" t="s">
        <v>1058</v>
      </c>
      <c r="C46" s="159" t="str">
        <f>"628669062032"</f>
        <v>628669062032</v>
      </c>
      <c r="D46" s="175" t="s">
        <v>25</v>
      </c>
      <c r="E46" s="170" t="s">
        <v>5</v>
      </c>
      <c r="F46" s="171">
        <v>44173</v>
      </c>
    </row>
    <row r="47" spans="1:6" s="39" customFormat="1" hidden="1" x14ac:dyDescent="0.3">
      <c r="A47" s="158">
        <v>17818</v>
      </c>
      <c r="B47" s="143" t="s">
        <v>3234</v>
      </c>
      <c r="C47" s="159">
        <v>62067382413</v>
      </c>
      <c r="D47" s="175">
        <v>1980</v>
      </c>
      <c r="E47" s="170" t="s">
        <v>3235</v>
      </c>
      <c r="F47" s="171">
        <v>44153</v>
      </c>
    </row>
    <row r="48" spans="1:6" s="39" customFormat="1" hidden="1" x14ac:dyDescent="0.3">
      <c r="A48" s="158">
        <v>438069</v>
      </c>
      <c r="B48" s="143" t="s">
        <v>3233</v>
      </c>
      <c r="C48" s="159">
        <v>48162014978</v>
      </c>
      <c r="D48" s="175" t="s">
        <v>202</v>
      </c>
      <c r="E48" s="170" t="s">
        <v>5</v>
      </c>
      <c r="F48" s="171">
        <v>44166</v>
      </c>
    </row>
    <row r="49" spans="1:6" s="39" customFormat="1" hidden="1" x14ac:dyDescent="0.3">
      <c r="A49" s="158">
        <v>392126</v>
      </c>
      <c r="B49" s="143" t="s">
        <v>3232</v>
      </c>
      <c r="C49" s="159">
        <v>405392014305</v>
      </c>
      <c r="D49" s="175" t="s">
        <v>202</v>
      </c>
      <c r="E49" s="132" t="s">
        <v>3231</v>
      </c>
      <c r="F49" s="171">
        <v>44152</v>
      </c>
    </row>
    <row r="50" spans="1:6" s="39" customFormat="1" hidden="1" x14ac:dyDescent="0.3">
      <c r="A50" s="158">
        <v>482026</v>
      </c>
      <c r="B50" s="143" t="s">
        <v>3116</v>
      </c>
      <c r="C50" s="159">
        <v>3185370074831</v>
      </c>
      <c r="D50" s="175" t="s">
        <v>202</v>
      </c>
      <c r="E50" s="132" t="s">
        <v>3230</v>
      </c>
      <c r="F50" s="171">
        <v>44152</v>
      </c>
    </row>
    <row r="51" spans="1:6" s="39" customFormat="1" hidden="1" x14ac:dyDescent="0.3">
      <c r="A51" s="158" t="str">
        <f>"0470633"</f>
        <v>0470633</v>
      </c>
      <c r="B51" s="143" t="s">
        <v>3228</v>
      </c>
      <c r="C51" s="159" t="str">
        <f>"5011885010454"</f>
        <v>5011885010454</v>
      </c>
      <c r="D51" s="175" t="s">
        <v>48</v>
      </c>
      <c r="E51" s="170" t="s">
        <v>3229</v>
      </c>
      <c r="F51" s="171">
        <v>44152</v>
      </c>
    </row>
    <row r="52" spans="1:6" s="39" customFormat="1" hidden="1" x14ac:dyDescent="0.3">
      <c r="A52" s="158" t="str">
        <f>"0470781"</f>
        <v>0470781</v>
      </c>
      <c r="B52" s="143" t="s">
        <v>179</v>
      </c>
      <c r="C52" s="159" t="str">
        <f>"5011885009786"</f>
        <v>5011885009786</v>
      </c>
      <c r="D52" s="175" t="s">
        <v>48</v>
      </c>
      <c r="E52" s="170" t="s">
        <v>3229</v>
      </c>
      <c r="F52" s="171">
        <v>44166</v>
      </c>
    </row>
    <row r="53" spans="1:6" s="39" customFormat="1" hidden="1" x14ac:dyDescent="0.3">
      <c r="A53" s="158" t="str">
        <f>"0609040"</f>
        <v>0609040</v>
      </c>
      <c r="B53" s="143" t="s">
        <v>2703</v>
      </c>
      <c r="C53" s="159" t="str">
        <f>"056910605149"</f>
        <v>056910605149</v>
      </c>
      <c r="D53" s="175" t="s">
        <v>127</v>
      </c>
      <c r="E53" s="170" t="s">
        <v>5</v>
      </c>
      <c r="F53" s="171">
        <v>44152</v>
      </c>
    </row>
    <row r="54" spans="1:6" s="39" customFormat="1" hidden="1" x14ac:dyDescent="0.3">
      <c r="A54" s="158" t="str">
        <f>"0617589"</f>
        <v>0617589</v>
      </c>
      <c r="B54" s="143" t="s">
        <v>3227</v>
      </c>
      <c r="C54" s="159" t="str">
        <f>"712195509892"</f>
        <v>712195509892</v>
      </c>
      <c r="D54" s="175" t="s">
        <v>25</v>
      </c>
      <c r="E54" s="170" t="s">
        <v>5</v>
      </c>
      <c r="F54" s="171">
        <v>44166</v>
      </c>
    </row>
    <row r="55" spans="1:6" s="39" customFormat="1" ht="27.95" hidden="1" x14ac:dyDescent="0.3">
      <c r="A55" s="174" t="str">
        <f>"0056804"</f>
        <v>0056804</v>
      </c>
      <c r="B55" s="172" t="s">
        <v>3226</v>
      </c>
      <c r="C55" s="159" t="str">
        <f>"7501064194078"</f>
        <v>7501064194078</v>
      </c>
      <c r="D55" s="175" t="s">
        <v>37</v>
      </c>
      <c r="E55" s="132" t="s">
        <v>3288</v>
      </c>
      <c r="F55" s="171">
        <v>44173</v>
      </c>
    </row>
    <row r="56" spans="1:6" s="39" customFormat="1" hidden="1" x14ac:dyDescent="0.3">
      <c r="A56" s="158">
        <v>15442</v>
      </c>
      <c r="B56" s="143" t="s">
        <v>2910</v>
      </c>
      <c r="C56" s="159">
        <v>186360010184</v>
      </c>
      <c r="D56" s="175" t="s">
        <v>1620</v>
      </c>
      <c r="E56" s="170" t="s">
        <v>5</v>
      </c>
      <c r="F56" s="171">
        <v>44166</v>
      </c>
    </row>
    <row r="57" spans="1:6" s="39" customFormat="1" hidden="1" x14ac:dyDescent="0.3">
      <c r="A57" s="158">
        <v>15886</v>
      </c>
      <c r="B57" s="143" t="s">
        <v>3224</v>
      </c>
      <c r="C57" s="159">
        <v>186360050784</v>
      </c>
      <c r="D57" s="175" t="s">
        <v>25</v>
      </c>
      <c r="E57" s="170" t="s">
        <v>5</v>
      </c>
      <c r="F57" s="171">
        <v>44146</v>
      </c>
    </row>
    <row r="58" spans="1:6" s="39" customFormat="1" hidden="1" x14ac:dyDescent="0.3">
      <c r="A58" s="158">
        <v>16509</v>
      </c>
      <c r="B58" s="143" t="s">
        <v>3225</v>
      </c>
      <c r="C58" s="159">
        <v>186360050777</v>
      </c>
      <c r="D58" s="175" t="s">
        <v>25</v>
      </c>
      <c r="E58" s="170" t="s">
        <v>5</v>
      </c>
      <c r="F58" s="171">
        <v>44146</v>
      </c>
    </row>
    <row r="59" spans="1:6" s="39" customFormat="1" hidden="1" x14ac:dyDescent="0.3">
      <c r="A59" s="174" t="str">
        <f>"0016151"</f>
        <v>0016151</v>
      </c>
      <c r="B59" s="172" t="s">
        <v>3223</v>
      </c>
      <c r="C59" s="159" t="str">
        <f>"691245000056"</f>
        <v>691245000056</v>
      </c>
      <c r="D59" s="175" t="s">
        <v>25</v>
      </c>
      <c r="E59" s="170" t="s">
        <v>5</v>
      </c>
      <c r="F59" s="171">
        <v>44166</v>
      </c>
    </row>
    <row r="60" spans="1:6" s="39" customFormat="1" hidden="1" x14ac:dyDescent="0.3">
      <c r="A60" s="174" t="str">
        <f>"0618751"</f>
        <v>0618751</v>
      </c>
      <c r="B60" s="172" t="s">
        <v>3222</v>
      </c>
      <c r="C60" s="159" t="str">
        <f>"627843754251"</f>
        <v>627843754251</v>
      </c>
      <c r="D60" s="175" t="s">
        <v>25</v>
      </c>
      <c r="E60" s="170" t="s">
        <v>5</v>
      </c>
      <c r="F60" s="171">
        <v>44159</v>
      </c>
    </row>
    <row r="61" spans="1:6" s="39" customFormat="1" hidden="1" x14ac:dyDescent="0.3">
      <c r="A61" s="174">
        <v>11681</v>
      </c>
      <c r="B61" s="172" t="s">
        <v>3221</v>
      </c>
      <c r="C61" s="159">
        <v>657664339504</v>
      </c>
      <c r="D61" s="175" t="s">
        <v>202</v>
      </c>
      <c r="E61" s="170" t="s">
        <v>5</v>
      </c>
      <c r="F61" s="171">
        <v>44139</v>
      </c>
    </row>
    <row r="62" spans="1:6" s="39" customFormat="1" hidden="1" x14ac:dyDescent="0.3">
      <c r="A62" s="174" t="str">
        <f>"0127902"</f>
        <v>0127902</v>
      </c>
      <c r="B62" s="172" t="s">
        <v>3220</v>
      </c>
      <c r="C62" s="159" t="str">
        <f>"627987072952"</f>
        <v>627987072952</v>
      </c>
      <c r="D62" s="175" t="s">
        <v>1620</v>
      </c>
      <c r="E62" s="170" t="s">
        <v>5</v>
      </c>
      <c r="F62" s="171">
        <v>44139</v>
      </c>
    </row>
    <row r="63" spans="1:6" s="39" customFormat="1" hidden="1" x14ac:dyDescent="0.3">
      <c r="A63" s="174" t="str">
        <f>"0464172"</f>
        <v>0464172</v>
      </c>
      <c r="B63" s="172" t="s">
        <v>3216</v>
      </c>
      <c r="C63" s="159" t="str">
        <f>"7501064195419"</f>
        <v>7501064195419</v>
      </c>
      <c r="D63" s="175" t="s">
        <v>25</v>
      </c>
      <c r="E63" s="170" t="s">
        <v>3217</v>
      </c>
      <c r="F63" s="171">
        <v>44140</v>
      </c>
    </row>
    <row r="64" spans="1:6" s="39" customFormat="1" hidden="1" x14ac:dyDescent="0.3">
      <c r="A64" s="174" t="str">
        <f>"0611566"</f>
        <v>0611566</v>
      </c>
      <c r="B64" s="172" t="s">
        <v>3214</v>
      </c>
      <c r="C64" s="159" t="str">
        <f>"7501064196003"</f>
        <v>7501064196003</v>
      </c>
      <c r="D64" s="175" t="s">
        <v>3215</v>
      </c>
      <c r="E64" s="170" t="s">
        <v>3218</v>
      </c>
      <c r="F64" s="171">
        <v>44140</v>
      </c>
    </row>
    <row r="65" spans="1:6" s="39" customFormat="1" hidden="1" x14ac:dyDescent="0.3">
      <c r="A65" s="174" t="str">
        <f>"0418590"</f>
        <v>0418590</v>
      </c>
      <c r="B65" s="172" t="s">
        <v>3213</v>
      </c>
      <c r="C65" s="159" t="str">
        <f>"7501064196331"</f>
        <v>7501064196331</v>
      </c>
      <c r="D65" s="175" t="s">
        <v>37</v>
      </c>
      <c r="E65" s="170" t="s">
        <v>3219</v>
      </c>
      <c r="F65" s="171">
        <v>44140</v>
      </c>
    </row>
    <row r="66" spans="1:6" s="39" customFormat="1" hidden="1" x14ac:dyDescent="0.3">
      <c r="A66" s="174">
        <v>17118</v>
      </c>
      <c r="B66" s="172" t="s">
        <v>3211</v>
      </c>
      <c r="C66" s="159">
        <v>48162017276</v>
      </c>
      <c r="D66" s="175" t="s">
        <v>202</v>
      </c>
      <c r="E66" s="170" t="s">
        <v>5</v>
      </c>
      <c r="F66" s="171">
        <v>44138</v>
      </c>
    </row>
    <row r="67" spans="1:6" s="39" customFormat="1" ht="27.95" hidden="1" x14ac:dyDescent="0.3">
      <c r="A67" s="174" t="str">
        <f>"0186510"</f>
        <v>0186510</v>
      </c>
      <c r="B67" s="172" t="s">
        <v>3209</v>
      </c>
      <c r="C67" s="159" t="str">
        <f>"7501064196034"</f>
        <v>7501064196034</v>
      </c>
      <c r="D67" s="175" t="s">
        <v>29</v>
      </c>
      <c r="E67" s="132" t="s">
        <v>3210</v>
      </c>
      <c r="F67" s="171">
        <v>44152</v>
      </c>
    </row>
    <row r="68" spans="1:6" s="39" customFormat="1" hidden="1" x14ac:dyDescent="0.3">
      <c r="A68" s="174" t="str">
        <f>"0016135"</f>
        <v>0016135</v>
      </c>
      <c r="B68" s="172" t="s">
        <v>3208</v>
      </c>
      <c r="C68" s="173" t="str">
        <f>"699057000462"</f>
        <v>699057000462</v>
      </c>
      <c r="D68" s="175" t="s">
        <v>1620</v>
      </c>
      <c r="E68" s="170" t="s">
        <v>3212</v>
      </c>
      <c r="F68" s="171">
        <v>44166</v>
      </c>
    </row>
    <row r="69" spans="1:6" s="39" customFormat="1" hidden="1" x14ac:dyDescent="0.3">
      <c r="A69" s="174">
        <v>461905</v>
      </c>
      <c r="B69" s="172" t="s">
        <v>2421</v>
      </c>
      <c r="C69" s="173">
        <v>627843532712</v>
      </c>
      <c r="D69" s="175" t="s">
        <v>25</v>
      </c>
      <c r="E69" s="170" t="s">
        <v>5</v>
      </c>
      <c r="F69" s="171">
        <v>44145</v>
      </c>
    </row>
    <row r="70" spans="1:6" s="39" customFormat="1" hidden="1" x14ac:dyDescent="0.3">
      <c r="A70" s="174">
        <v>517631</v>
      </c>
      <c r="B70" s="172" t="s">
        <v>2424</v>
      </c>
      <c r="C70" s="173">
        <v>627843532682</v>
      </c>
      <c r="D70" s="175" t="s">
        <v>25</v>
      </c>
      <c r="E70" s="170" t="s">
        <v>5</v>
      </c>
      <c r="F70" s="171">
        <v>44145</v>
      </c>
    </row>
    <row r="71" spans="1:6" s="39" customFormat="1" hidden="1" x14ac:dyDescent="0.3">
      <c r="A71" s="174">
        <v>517656</v>
      </c>
      <c r="B71" s="172" t="s">
        <v>2425</v>
      </c>
      <c r="C71" s="173">
        <v>627843532743</v>
      </c>
      <c r="D71" s="175" t="s">
        <v>25</v>
      </c>
      <c r="E71" s="170" t="s">
        <v>5</v>
      </c>
      <c r="F71" s="171">
        <v>44145</v>
      </c>
    </row>
    <row r="72" spans="1:6" s="39" customFormat="1" hidden="1" x14ac:dyDescent="0.3">
      <c r="A72" s="174">
        <v>460030</v>
      </c>
      <c r="B72" s="172" t="s">
        <v>3206</v>
      </c>
      <c r="C72" s="173">
        <v>839587000215</v>
      </c>
      <c r="D72" s="175" t="s">
        <v>137</v>
      </c>
      <c r="E72" s="170" t="s">
        <v>5</v>
      </c>
      <c r="F72" s="171">
        <v>44145</v>
      </c>
    </row>
    <row r="73" spans="1:6" s="39" customFormat="1" hidden="1" x14ac:dyDescent="0.3">
      <c r="A73" s="174">
        <v>463380</v>
      </c>
      <c r="B73" s="172" t="s">
        <v>3207</v>
      </c>
      <c r="C73" s="173">
        <v>839587000239</v>
      </c>
      <c r="D73" s="175" t="s">
        <v>306</v>
      </c>
      <c r="E73" s="170" t="s">
        <v>5</v>
      </c>
      <c r="F73" s="171">
        <v>44145</v>
      </c>
    </row>
    <row r="74" spans="1:6" s="39" customFormat="1" hidden="1" x14ac:dyDescent="0.3">
      <c r="A74" s="161">
        <v>163444</v>
      </c>
      <c r="B74" s="144" t="s">
        <v>3202</v>
      </c>
      <c r="C74" s="148">
        <v>5010103926560</v>
      </c>
      <c r="D74" s="169" t="s">
        <v>202</v>
      </c>
      <c r="E74" s="10" t="s">
        <v>5</v>
      </c>
      <c r="F74" s="96">
        <v>44145</v>
      </c>
    </row>
    <row r="75" spans="1:6" s="39" customFormat="1" hidden="1" x14ac:dyDescent="0.3">
      <c r="A75" s="161">
        <v>535849</v>
      </c>
      <c r="B75" s="144" t="s">
        <v>3203</v>
      </c>
      <c r="C75" s="148">
        <v>714320135006</v>
      </c>
      <c r="D75" s="169" t="s">
        <v>202</v>
      </c>
      <c r="E75" s="10" t="s">
        <v>5</v>
      </c>
      <c r="F75" s="96">
        <v>44145</v>
      </c>
    </row>
    <row r="76" spans="1:6" s="39" customFormat="1" hidden="1" x14ac:dyDescent="0.3">
      <c r="A76" s="161">
        <v>539536</v>
      </c>
      <c r="B76" s="144" t="s">
        <v>3204</v>
      </c>
      <c r="C76" s="148">
        <v>4006975192234</v>
      </c>
      <c r="D76" s="169" t="s">
        <v>202</v>
      </c>
      <c r="E76" s="10" t="s">
        <v>5</v>
      </c>
      <c r="F76" s="96">
        <v>44145</v>
      </c>
    </row>
    <row r="77" spans="1:6" s="39" customFormat="1" hidden="1" x14ac:dyDescent="0.3">
      <c r="A77" s="161">
        <v>479832</v>
      </c>
      <c r="B77" s="144" t="s">
        <v>3205</v>
      </c>
      <c r="C77" s="148">
        <v>3192371119171</v>
      </c>
      <c r="D77" s="169" t="s">
        <v>202</v>
      </c>
      <c r="E77" s="10" t="s">
        <v>5</v>
      </c>
      <c r="F77" s="96">
        <v>44145</v>
      </c>
    </row>
    <row r="78" spans="1:6" s="39" customFormat="1" hidden="1" x14ac:dyDescent="0.3">
      <c r="A78" s="161">
        <v>16767</v>
      </c>
      <c r="B78" s="144" t="s">
        <v>3201</v>
      </c>
      <c r="C78" s="148" t="s">
        <v>3200</v>
      </c>
      <c r="D78" s="169" t="s">
        <v>202</v>
      </c>
      <c r="E78" s="10" t="s">
        <v>5</v>
      </c>
      <c r="F78" s="96">
        <v>44131</v>
      </c>
    </row>
    <row r="79" spans="1:6" s="39" customFormat="1" hidden="1" x14ac:dyDescent="0.3">
      <c r="A79" s="161" t="str">
        <f>"0480012"</f>
        <v>0480012</v>
      </c>
      <c r="B79" s="144" t="s">
        <v>251</v>
      </c>
      <c r="C79" s="159" t="str">
        <f>"812339000374"</f>
        <v>812339000374</v>
      </c>
      <c r="D79" s="168" t="s">
        <v>25</v>
      </c>
      <c r="E79" s="10" t="s">
        <v>5</v>
      </c>
      <c r="F79" s="96">
        <v>44145</v>
      </c>
    </row>
    <row r="80" spans="1:6" s="39" customFormat="1" ht="27.95" hidden="1" x14ac:dyDescent="0.3">
      <c r="A80" s="161" t="str">
        <f>"0688515"</f>
        <v>0688515</v>
      </c>
      <c r="B80" s="144" t="s">
        <v>2402</v>
      </c>
      <c r="C80" s="159" t="str">
        <f>"602573395332"</f>
        <v>602573395332</v>
      </c>
      <c r="D80" s="169" t="s">
        <v>25</v>
      </c>
      <c r="E80" s="132" t="s">
        <v>3199</v>
      </c>
      <c r="F80" s="96">
        <v>44145</v>
      </c>
    </row>
    <row r="81" spans="1:6" s="39" customFormat="1" hidden="1" x14ac:dyDescent="0.3">
      <c r="A81" s="161" t="str">
        <f>"0515056"</f>
        <v>0515056</v>
      </c>
      <c r="B81" s="144" t="s">
        <v>2656</v>
      </c>
      <c r="C81" s="159" t="str">
        <f>"717390416938"</f>
        <v>717390416938</v>
      </c>
      <c r="D81" s="168" t="s">
        <v>25</v>
      </c>
      <c r="E81" s="10" t="s">
        <v>5</v>
      </c>
      <c r="F81" s="96">
        <v>44138</v>
      </c>
    </row>
    <row r="82" spans="1:6" s="39" customFormat="1" hidden="1" x14ac:dyDescent="0.3">
      <c r="A82" s="161">
        <v>510883</v>
      </c>
      <c r="B82" s="144" t="s">
        <v>3198</v>
      </c>
      <c r="C82" s="159">
        <v>81308004105</v>
      </c>
      <c r="D82" s="169" t="s">
        <v>455</v>
      </c>
      <c r="E82" s="10" t="s">
        <v>5</v>
      </c>
      <c r="F82" s="96">
        <v>44118</v>
      </c>
    </row>
    <row r="83" spans="1:6" s="39" customFormat="1" hidden="1" x14ac:dyDescent="0.3">
      <c r="A83" s="161">
        <v>643882</v>
      </c>
      <c r="B83" s="144" t="s">
        <v>3197</v>
      </c>
      <c r="C83" s="159">
        <v>99988071416</v>
      </c>
      <c r="D83" s="169" t="s">
        <v>202</v>
      </c>
      <c r="E83" s="10" t="s">
        <v>5</v>
      </c>
      <c r="F83" s="96">
        <v>44118</v>
      </c>
    </row>
    <row r="84" spans="1:6" s="39" customFormat="1" hidden="1" x14ac:dyDescent="0.3">
      <c r="A84" s="161">
        <v>223537</v>
      </c>
      <c r="B84" s="144" t="s">
        <v>3196</v>
      </c>
      <c r="C84" s="159">
        <v>874537049142</v>
      </c>
      <c r="D84" s="169" t="s">
        <v>202</v>
      </c>
      <c r="E84" s="10" t="s">
        <v>5</v>
      </c>
      <c r="F84" s="96">
        <v>44118</v>
      </c>
    </row>
    <row r="85" spans="1:6" s="39" customFormat="1" hidden="1" x14ac:dyDescent="0.3">
      <c r="A85" s="161">
        <v>13906</v>
      </c>
      <c r="B85" s="144" t="s">
        <v>3195</v>
      </c>
      <c r="C85" s="159">
        <v>779373624303</v>
      </c>
      <c r="D85" s="169" t="s">
        <v>202</v>
      </c>
      <c r="E85" s="10" t="s">
        <v>5</v>
      </c>
      <c r="F85" s="96">
        <v>44118</v>
      </c>
    </row>
    <row r="86" spans="1:6" s="39" customFormat="1" hidden="1" x14ac:dyDescent="0.3">
      <c r="A86" s="161">
        <v>12650</v>
      </c>
      <c r="B86" s="144" t="s">
        <v>3193</v>
      </c>
      <c r="C86" s="159">
        <v>779373624105</v>
      </c>
      <c r="D86" s="169" t="s">
        <v>202</v>
      </c>
      <c r="E86" s="10" t="s">
        <v>5</v>
      </c>
      <c r="F86" s="96">
        <v>44118</v>
      </c>
    </row>
    <row r="87" spans="1:6" s="39" customFormat="1" hidden="1" x14ac:dyDescent="0.3">
      <c r="A87" s="161">
        <v>12649</v>
      </c>
      <c r="B87" s="144" t="s">
        <v>3194</v>
      </c>
      <c r="C87" s="159">
        <v>779373624204</v>
      </c>
      <c r="D87" s="169" t="s">
        <v>202</v>
      </c>
      <c r="E87" s="10" t="s">
        <v>5</v>
      </c>
      <c r="F87" s="96">
        <v>44118</v>
      </c>
    </row>
    <row r="88" spans="1:6" s="39" customFormat="1" ht="27.95" hidden="1" x14ac:dyDescent="0.3">
      <c r="A88" s="161">
        <v>89037</v>
      </c>
      <c r="B88" s="144" t="s">
        <v>3191</v>
      </c>
      <c r="C88" s="159">
        <v>670459010433</v>
      </c>
      <c r="D88" s="169" t="s">
        <v>202</v>
      </c>
      <c r="E88" s="132" t="s">
        <v>3192</v>
      </c>
      <c r="F88" s="96">
        <v>44131</v>
      </c>
    </row>
    <row r="89" spans="1:6" s="39" customFormat="1" hidden="1" x14ac:dyDescent="0.3">
      <c r="A89" s="161" t="str">
        <f>"16887"</f>
        <v>16887</v>
      </c>
      <c r="B89" s="144" t="s">
        <v>3190</v>
      </c>
      <c r="C89" s="159" t="str">
        <f>"628669092367"</f>
        <v>628669092367</v>
      </c>
      <c r="D89" s="168" t="s">
        <v>25</v>
      </c>
      <c r="E89" s="10" t="s">
        <v>5</v>
      </c>
      <c r="F89" s="96">
        <v>44138</v>
      </c>
    </row>
    <row r="90" spans="1:6" hidden="1" x14ac:dyDescent="0.3">
      <c r="A90" s="161">
        <v>14867</v>
      </c>
      <c r="B90" s="144" t="s">
        <v>3162</v>
      </c>
      <c r="C90" s="157" t="s">
        <v>3176</v>
      </c>
      <c r="D90" s="169" t="s">
        <v>202</v>
      </c>
      <c r="E90" s="144" t="s">
        <v>3189</v>
      </c>
      <c r="F90" s="96">
        <v>44145</v>
      </c>
    </row>
    <row r="91" spans="1:6" s="39" customFormat="1" hidden="1" x14ac:dyDescent="0.3">
      <c r="A91" s="161">
        <v>110031</v>
      </c>
      <c r="B91" s="144" t="s">
        <v>3163</v>
      </c>
      <c r="C91" s="157" t="s">
        <v>3177</v>
      </c>
      <c r="D91" s="169" t="s">
        <v>202</v>
      </c>
      <c r="E91" s="144" t="s">
        <v>3189</v>
      </c>
      <c r="F91" s="96">
        <v>44145</v>
      </c>
    </row>
    <row r="92" spans="1:6" s="39" customFormat="1" hidden="1" x14ac:dyDescent="0.3">
      <c r="A92" s="161">
        <v>110049</v>
      </c>
      <c r="B92" s="144" t="s">
        <v>3164</v>
      </c>
      <c r="C92" s="157" t="s">
        <v>3178</v>
      </c>
      <c r="D92" s="169" t="s">
        <v>202</v>
      </c>
      <c r="E92" s="144" t="s">
        <v>3189</v>
      </c>
      <c r="F92" s="96">
        <v>44145</v>
      </c>
    </row>
    <row r="93" spans="1:6" s="39" customFormat="1" hidden="1" x14ac:dyDescent="0.3">
      <c r="A93" s="161">
        <v>139022</v>
      </c>
      <c r="B93" s="144" t="s">
        <v>3165</v>
      </c>
      <c r="C93" s="157" t="s">
        <v>3179</v>
      </c>
      <c r="D93" s="169" t="s">
        <v>202</v>
      </c>
      <c r="E93" s="144" t="s">
        <v>3189</v>
      </c>
      <c r="F93" s="96">
        <v>44145</v>
      </c>
    </row>
    <row r="94" spans="1:6" s="39" customFormat="1" hidden="1" x14ac:dyDescent="0.3">
      <c r="A94" s="161">
        <v>159962</v>
      </c>
      <c r="B94" s="144" t="s">
        <v>3166</v>
      </c>
      <c r="C94" s="157" t="s">
        <v>1308</v>
      </c>
      <c r="D94" s="169" t="s">
        <v>202</v>
      </c>
      <c r="E94" s="144" t="s">
        <v>3189</v>
      </c>
      <c r="F94" s="96">
        <v>44145</v>
      </c>
    </row>
    <row r="95" spans="1:6" s="39" customFormat="1" hidden="1" x14ac:dyDescent="0.3">
      <c r="A95" s="161">
        <v>164087</v>
      </c>
      <c r="B95" s="144" t="s">
        <v>963</v>
      </c>
      <c r="C95" s="157" t="s">
        <v>3180</v>
      </c>
      <c r="D95" s="169" t="s">
        <v>202</v>
      </c>
      <c r="E95" s="144" t="s">
        <v>3189</v>
      </c>
      <c r="F95" s="96">
        <v>44145</v>
      </c>
    </row>
    <row r="96" spans="1:6" s="39" customFormat="1" hidden="1" x14ac:dyDescent="0.3">
      <c r="A96" s="161">
        <v>177477</v>
      </c>
      <c r="B96" s="144" t="s">
        <v>3167</v>
      </c>
      <c r="C96" s="157" t="s">
        <v>3181</v>
      </c>
      <c r="D96" s="169" t="s">
        <v>202</v>
      </c>
      <c r="E96" s="144" t="s">
        <v>3189</v>
      </c>
      <c r="F96" s="96">
        <v>44145</v>
      </c>
    </row>
    <row r="97" spans="1:6" s="39" customFormat="1" hidden="1" x14ac:dyDescent="0.3">
      <c r="A97" s="161">
        <v>177485</v>
      </c>
      <c r="B97" s="144" t="s">
        <v>3168</v>
      </c>
      <c r="C97" s="157" t="s">
        <v>3182</v>
      </c>
      <c r="D97" s="169" t="s">
        <v>202</v>
      </c>
      <c r="E97" s="144" t="s">
        <v>3189</v>
      </c>
      <c r="F97" s="96">
        <v>44145</v>
      </c>
    </row>
    <row r="98" spans="1:6" s="39" customFormat="1" hidden="1" x14ac:dyDescent="0.3">
      <c r="A98" s="161">
        <v>225920</v>
      </c>
      <c r="B98" s="144" t="s">
        <v>3169</v>
      </c>
      <c r="C98" s="157" t="s">
        <v>3183</v>
      </c>
      <c r="D98" s="169" t="s">
        <v>202</v>
      </c>
      <c r="E98" s="144" t="s">
        <v>3189</v>
      </c>
      <c r="F98" s="96">
        <v>44145</v>
      </c>
    </row>
    <row r="99" spans="1:6" s="39" customFormat="1" hidden="1" x14ac:dyDescent="0.3">
      <c r="A99" s="161">
        <v>244616</v>
      </c>
      <c r="B99" s="144" t="s">
        <v>3170</v>
      </c>
      <c r="C99" s="157" t="s">
        <v>3184</v>
      </c>
      <c r="D99" s="169" t="s">
        <v>202</v>
      </c>
      <c r="E99" s="144" t="s">
        <v>3189</v>
      </c>
      <c r="F99" s="96">
        <v>44145</v>
      </c>
    </row>
    <row r="100" spans="1:6" s="39" customFormat="1" hidden="1" x14ac:dyDescent="0.3">
      <c r="A100" s="161">
        <v>346445</v>
      </c>
      <c r="B100" s="144" t="s">
        <v>3171</v>
      </c>
      <c r="C100" s="157" t="s">
        <v>3185</v>
      </c>
      <c r="D100" s="169" t="s">
        <v>202</v>
      </c>
      <c r="E100" s="144" t="s">
        <v>3189</v>
      </c>
      <c r="F100" s="96">
        <v>44145</v>
      </c>
    </row>
    <row r="101" spans="1:6" s="39" customFormat="1" hidden="1" x14ac:dyDescent="0.3">
      <c r="A101" s="161">
        <v>361881</v>
      </c>
      <c r="B101" s="144" t="s">
        <v>965</v>
      </c>
      <c r="C101" s="157" t="s">
        <v>966</v>
      </c>
      <c r="D101" s="169" t="s">
        <v>202</v>
      </c>
      <c r="E101" s="144" t="s">
        <v>3189</v>
      </c>
      <c r="F101" s="96">
        <v>44145</v>
      </c>
    </row>
    <row r="102" spans="1:6" s="39" customFormat="1" hidden="1" x14ac:dyDescent="0.3">
      <c r="A102" s="161">
        <v>372219</v>
      </c>
      <c r="B102" s="144" t="s">
        <v>3172</v>
      </c>
      <c r="C102" s="157" t="s">
        <v>969</v>
      </c>
      <c r="D102" s="169" t="s">
        <v>202</v>
      </c>
      <c r="E102" s="144" t="s">
        <v>3189</v>
      </c>
      <c r="F102" s="96">
        <v>44145</v>
      </c>
    </row>
    <row r="103" spans="1:6" s="39" customFormat="1" hidden="1" x14ac:dyDescent="0.3">
      <c r="A103" s="161">
        <v>414748</v>
      </c>
      <c r="B103" s="144" t="s">
        <v>3173</v>
      </c>
      <c r="C103" s="157" t="s">
        <v>3186</v>
      </c>
      <c r="D103" s="169" t="s">
        <v>202</v>
      </c>
      <c r="E103" s="144" t="s">
        <v>3189</v>
      </c>
      <c r="F103" s="96">
        <v>44145</v>
      </c>
    </row>
    <row r="104" spans="1:6" s="39" customFormat="1" hidden="1" x14ac:dyDescent="0.3">
      <c r="A104" s="161">
        <v>459982</v>
      </c>
      <c r="B104" s="144" t="s">
        <v>3174</v>
      </c>
      <c r="C104" s="157" t="s">
        <v>3187</v>
      </c>
      <c r="D104" s="169" t="s">
        <v>202</v>
      </c>
      <c r="E104" s="144" t="s">
        <v>3189</v>
      </c>
      <c r="F104" s="96">
        <v>44145</v>
      </c>
    </row>
    <row r="105" spans="1:6" s="39" customFormat="1" hidden="1" x14ac:dyDescent="0.3">
      <c r="A105" s="161">
        <v>648642</v>
      </c>
      <c r="B105" s="144" t="s">
        <v>3175</v>
      </c>
      <c r="C105" s="157" t="s">
        <v>3188</v>
      </c>
      <c r="D105" s="169" t="s">
        <v>202</v>
      </c>
      <c r="E105" s="144" t="s">
        <v>3189</v>
      </c>
      <c r="F105" s="96">
        <v>44145</v>
      </c>
    </row>
    <row r="106" spans="1:6" s="39" customFormat="1" hidden="1" x14ac:dyDescent="0.3">
      <c r="A106" s="161">
        <v>13776</v>
      </c>
      <c r="B106" s="144" t="s">
        <v>3161</v>
      </c>
      <c r="C106" s="159">
        <v>8008863061642</v>
      </c>
      <c r="D106" s="168" t="s">
        <v>202</v>
      </c>
      <c r="E106" s="10" t="s">
        <v>5</v>
      </c>
      <c r="F106" s="96">
        <v>44118</v>
      </c>
    </row>
    <row r="107" spans="1:6" s="39" customFormat="1" hidden="1" x14ac:dyDescent="0.3">
      <c r="A107" s="161">
        <v>611467</v>
      </c>
      <c r="B107" s="144" t="s">
        <v>3160</v>
      </c>
      <c r="C107" s="159">
        <v>9311910102069</v>
      </c>
      <c r="D107" s="168" t="s">
        <v>202</v>
      </c>
      <c r="E107" s="10" t="s">
        <v>5</v>
      </c>
      <c r="F107" s="96">
        <v>44118</v>
      </c>
    </row>
    <row r="108" spans="1:6" s="39" customFormat="1" ht="27.95" hidden="1" x14ac:dyDescent="0.3">
      <c r="A108" s="161" t="str">
        <f>"0359356"</f>
        <v>0359356</v>
      </c>
      <c r="B108" s="144" t="s">
        <v>3158</v>
      </c>
      <c r="C108" s="159" t="str">
        <f>"4260134390712"</f>
        <v>4260134390712</v>
      </c>
      <c r="D108" s="159" t="s">
        <v>48</v>
      </c>
      <c r="E108" s="144" t="s">
        <v>3159</v>
      </c>
      <c r="F108" s="96">
        <v>44131</v>
      </c>
    </row>
    <row r="109" spans="1:6" hidden="1" x14ac:dyDescent="0.3">
      <c r="A109" s="155" t="str">
        <f>"0013048"</f>
        <v>0013048</v>
      </c>
      <c r="B109" s="10" t="s">
        <v>3157</v>
      </c>
      <c r="C109" s="133" t="str">
        <f>"627843374237"</f>
        <v>627843374237</v>
      </c>
      <c r="D109" s="133" t="s">
        <v>25</v>
      </c>
      <c r="E109" s="10" t="s">
        <v>5</v>
      </c>
      <c r="F109" s="96">
        <v>44131</v>
      </c>
    </row>
    <row r="110" spans="1:6" hidden="1" x14ac:dyDescent="0.3">
      <c r="A110" s="155" t="str">
        <f>"0014651"</f>
        <v>0014651</v>
      </c>
      <c r="B110" s="10" t="s">
        <v>3156</v>
      </c>
      <c r="C110" s="133" t="str">
        <f>"812339000848"</f>
        <v>812339000848</v>
      </c>
      <c r="D110" s="133" t="s">
        <v>25</v>
      </c>
      <c r="E110" s="10" t="s">
        <v>5</v>
      </c>
      <c r="F110" s="96">
        <v>44131</v>
      </c>
    </row>
    <row r="111" spans="1:6" hidden="1" x14ac:dyDescent="0.3">
      <c r="A111" s="155" t="str">
        <f>"0013578"</f>
        <v>0013578</v>
      </c>
      <c r="B111" s="10" t="s">
        <v>3155</v>
      </c>
      <c r="C111" s="133" t="str">
        <f>"186360010153"</f>
        <v>186360010153</v>
      </c>
      <c r="D111" s="133" t="s">
        <v>555</v>
      </c>
      <c r="E111" s="10" t="s">
        <v>5</v>
      </c>
      <c r="F111" s="96">
        <v>44131</v>
      </c>
    </row>
    <row r="112" spans="1:6" ht="27.95" hidden="1" x14ac:dyDescent="0.3">
      <c r="A112" s="155">
        <v>409581</v>
      </c>
      <c r="B112" s="10" t="s">
        <v>3153</v>
      </c>
      <c r="C112" s="133">
        <v>835609001093</v>
      </c>
      <c r="D112" s="133" t="s">
        <v>48</v>
      </c>
      <c r="E112" s="132" t="s">
        <v>3154</v>
      </c>
      <c r="F112" s="96">
        <v>44111</v>
      </c>
    </row>
    <row r="113" spans="1:6" hidden="1" x14ac:dyDescent="0.3">
      <c r="A113" s="155">
        <v>494526</v>
      </c>
      <c r="B113" s="10" t="s">
        <v>3152</v>
      </c>
      <c r="C113" s="133">
        <v>627222161205</v>
      </c>
      <c r="D113" s="133" t="s">
        <v>496</v>
      </c>
      <c r="E113" s="10" t="s">
        <v>5</v>
      </c>
      <c r="F113" s="96">
        <v>44110</v>
      </c>
    </row>
    <row r="114" spans="1:6" hidden="1" x14ac:dyDescent="0.3">
      <c r="A114" s="155" t="str">
        <f>"0015025"</f>
        <v>0015025</v>
      </c>
      <c r="B114" s="10" t="s">
        <v>3151</v>
      </c>
      <c r="C114" s="133" t="str">
        <f>"627987073010"</f>
        <v>627987073010</v>
      </c>
      <c r="D114" s="133" t="s">
        <v>1620</v>
      </c>
      <c r="E114" s="10" t="s">
        <v>5</v>
      </c>
      <c r="F114" s="96">
        <v>44124</v>
      </c>
    </row>
    <row r="115" spans="1:6" hidden="1" x14ac:dyDescent="0.3">
      <c r="A115" s="155">
        <v>14776</v>
      </c>
      <c r="B115" s="10" t="s">
        <v>3150</v>
      </c>
      <c r="C115" s="133">
        <v>627987198744</v>
      </c>
      <c r="D115" s="133" t="s">
        <v>1301</v>
      </c>
      <c r="E115" s="10" t="s">
        <v>5</v>
      </c>
      <c r="F115" s="96">
        <v>44110</v>
      </c>
    </row>
    <row r="116" spans="1:6" hidden="1" x14ac:dyDescent="0.3">
      <c r="A116" s="155">
        <v>14801</v>
      </c>
      <c r="B116" s="10" t="s">
        <v>3149</v>
      </c>
      <c r="C116" s="133">
        <v>9421904443099</v>
      </c>
      <c r="D116" s="133" t="s">
        <v>1301</v>
      </c>
      <c r="E116" s="10" t="s">
        <v>5</v>
      </c>
      <c r="F116" s="96">
        <v>44110</v>
      </c>
    </row>
    <row r="117" spans="1:6" hidden="1" x14ac:dyDescent="0.3">
      <c r="A117" s="155">
        <v>15929</v>
      </c>
      <c r="B117" s="10" t="s">
        <v>3148</v>
      </c>
      <c r="C117" s="133">
        <v>3263280121101</v>
      </c>
      <c r="D117" s="133" t="s">
        <v>1301</v>
      </c>
      <c r="E117" s="10" t="s">
        <v>5</v>
      </c>
      <c r="F117" s="96">
        <v>44110</v>
      </c>
    </row>
    <row r="118" spans="1:6" hidden="1" x14ac:dyDescent="0.3">
      <c r="A118" s="155">
        <v>111989</v>
      </c>
      <c r="B118" s="10" t="s">
        <v>3146</v>
      </c>
      <c r="C118" s="133">
        <v>670459009710</v>
      </c>
      <c r="D118" s="133" t="s">
        <v>202</v>
      </c>
      <c r="E118" s="10" t="s">
        <v>5</v>
      </c>
      <c r="F118" s="96">
        <v>44103</v>
      </c>
    </row>
    <row r="119" spans="1:6" ht="41.95" hidden="1" x14ac:dyDescent="0.3">
      <c r="A119" s="155" t="str">
        <f>"0012819"</f>
        <v>0012819</v>
      </c>
      <c r="B119" s="10" t="s">
        <v>3145</v>
      </c>
      <c r="C119" s="133" t="str">
        <f>"786150000267"</f>
        <v>786150000267</v>
      </c>
      <c r="D119" s="133" t="s">
        <v>29</v>
      </c>
      <c r="E119" s="132" t="s">
        <v>3147</v>
      </c>
      <c r="F119" s="96">
        <v>44173</v>
      </c>
    </row>
    <row r="120" spans="1:6" ht="27.8" hidden="1" customHeight="1" x14ac:dyDescent="0.3">
      <c r="A120" s="155">
        <v>418848</v>
      </c>
      <c r="B120" s="10" t="s">
        <v>3141</v>
      </c>
      <c r="C120" s="133">
        <v>674687100133</v>
      </c>
      <c r="D120" s="133" t="s">
        <v>25</v>
      </c>
      <c r="E120" s="144" t="s">
        <v>3144</v>
      </c>
      <c r="F120" s="96">
        <v>44118</v>
      </c>
    </row>
    <row r="121" spans="1:6" ht="27.8" hidden="1" customHeight="1" x14ac:dyDescent="0.3">
      <c r="A121" s="155">
        <v>423137</v>
      </c>
      <c r="B121" s="10" t="s">
        <v>3142</v>
      </c>
      <c r="C121" s="133">
        <v>674687100126</v>
      </c>
      <c r="D121" s="133" t="s">
        <v>25</v>
      </c>
      <c r="E121" s="144" t="s">
        <v>3144</v>
      </c>
      <c r="F121" s="96">
        <v>44118</v>
      </c>
    </row>
    <row r="122" spans="1:6" ht="27.8" hidden="1" customHeight="1" x14ac:dyDescent="0.3">
      <c r="A122" s="155">
        <v>449256</v>
      </c>
      <c r="B122" s="10" t="s">
        <v>3143</v>
      </c>
      <c r="C122" s="133">
        <v>674687100140</v>
      </c>
      <c r="D122" s="133" t="s">
        <v>25</v>
      </c>
      <c r="E122" s="144" t="s">
        <v>3144</v>
      </c>
      <c r="F122" s="96">
        <v>44118</v>
      </c>
    </row>
    <row r="123" spans="1:6" ht="27.8" hidden="1" customHeight="1" x14ac:dyDescent="0.3">
      <c r="A123" s="155">
        <v>404061</v>
      </c>
      <c r="B123" s="10" t="s">
        <v>3139</v>
      </c>
      <c r="C123" s="133">
        <v>834122000033</v>
      </c>
      <c r="D123" s="133" t="s">
        <v>202</v>
      </c>
      <c r="E123" s="144" t="s">
        <v>3140</v>
      </c>
      <c r="F123" s="96">
        <v>44118</v>
      </c>
    </row>
    <row r="124" spans="1:6" ht="27.8" hidden="1" customHeight="1" x14ac:dyDescent="0.3">
      <c r="A124" s="155">
        <v>275677</v>
      </c>
      <c r="B124" s="10" t="s">
        <v>3138</v>
      </c>
      <c r="C124" s="133">
        <v>89419007138</v>
      </c>
      <c r="D124" s="133" t="s">
        <v>202</v>
      </c>
      <c r="E124" s="10" t="s">
        <v>5</v>
      </c>
      <c r="F124" s="96">
        <v>44118</v>
      </c>
    </row>
    <row r="125" spans="1:6" ht="27.8" hidden="1" customHeight="1" x14ac:dyDescent="0.3">
      <c r="A125" s="155" t="str">
        <f>"0474072"</f>
        <v>0474072</v>
      </c>
      <c r="B125" s="10" t="s">
        <v>3134</v>
      </c>
      <c r="C125" s="133" t="str">
        <f>"742832060875"</f>
        <v>742832060875</v>
      </c>
      <c r="D125" s="133" t="s">
        <v>25</v>
      </c>
      <c r="E125" s="132" t="s">
        <v>3137</v>
      </c>
      <c r="F125" s="96">
        <v>44118</v>
      </c>
    </row>
    <row r="126" spans="1:6" ht="27.8" hidden="1" customHeight="1" x14ac:dyDescent="0.3">
      <c r="A126" s="155" t="str">
        <f>"0446906"</f>
        <v>0446906</v>
      </c>
      <c r="B126" s="10" t="s">
        <v>3135</v>
      </c>
      <c r="C126" s="133" t="str">
        <f>"742832060820"</f>
        <v>742832060820</v>
      </c>
      <c r="D126" s="133" t="s">
        <v>124</v>
      </c>
      <c r="E126" s="132" t="s">
        <v>3136</v>
      </c>
      <c r="F126" s="96">
        <v>44118</v>
      </c>
    </row>
    <row r="127" spans="1:6" ht="13.7" hidden="1" customHeight="1" x14ac:dyDescent="0.3">
      <c r="A127" s="155" t="str">
        <f>"0465179"</f>
        <v>0465179</v>
      </c>
      <c r="B127" s="10" t="s">
        <v>3133</v>
      </c>
      <c r="C127" s="133" t="str">
        <f>"5741000148020"</f>
        <v>5741000148020</v>
      </c>
      <c r="D127" s="133" t="s">
        <v>48</v>
      </c>
      <c r="E127" s="10" t="s">
        <v>5</v>
      </c>
      <c r="F127" s="96">
        <v>44110</v>
      </c>
    </row>
    <row r="128" spans="1:6" ht="13.7" hidden="1" customHeight="1" x14ac:dyDescent="0.3">
      <c r="A128" s="155">
        <v>647651</v>
      </c>
      <c r="B128" s="10" t="s">
        <v>3132</v>
      </c>
      <c r="C128" s="133">
        <v>12894845117</v>
      </c>
      <c r="D128" s="133" t="s">
        <v>202</v>
      </c>
      <c r="E128" s="10" t="s">
        <v>5</v>
      </c>
      <c r="F128" s="96">
        <v>44103</v>
      </c>
    </row>
    <row r="129" spans="1:6" ht="13.7" hidden="1" customHeight="1" x14ac:dyDescent="0.3">
      <c r="A129" s="155">
        <v>277681</v>
      </c>
      <c r="B129" s="10" t="s">
        <v>3131</v>
      </c>
      <c r="C129" s="133">
        <v>7790168115984</v>
      </c>
      <c r="D129" s="133" t="s">
        <v>496</v>
      </c>
      <c r="E129" s="10" t="s">
        <v>5</v>
      </c>
      <c r="F129" s="96">
        <v>44103</v>
      </c>
    </row>
    <row r="130" spans="1:6" ht="27.8" hidden="1" customHeight="1" x14ac:dyDescent="0.3">
      <c r="A130" s="155">
        <v>470096</v>
      </c>
      <c r="B130" s="10" t="s">
        <v>2845</v>
      </c>
      <c r="C130" s="133">
        <v>3391180007079</v>
      </c>
      <c r="D130" s="133" t="s">
        <v>202</v>
      </c>
      <c r="E130" s="132" t="s">
        <v>3130</v>
      </c>
      <c r="F130" s="96">
        <v>44110</v>
      </c>
    </row>
    <row r="131" spans="1:6" ht="13.7" hidden="1" customHeight="1" x14ac:dyDescent="0.3">
      <c r="A131" s="155">
        <v>160143</v>
      </c>
      <c r="B131" s="10" t="s">
        <v>3126</v>
      </c>
      <c r="C131" s="133">
        <v>837042001371</v>
      </c>
      <c r="D131" s="133" t="s">
        <v>202</v>
      </c>
      <c r="E131" s="10" t="s">
        <v>5</v>
      </c>
      <c r="F131" s="96">
        <v>44110</v>
      </c>
    </row>
    <row r="132" spans="1:6" ht="13.7" hidden="1" customHeight="1" x14ac:dyDescent="0.3">
      <c r="A132" s="155" t="str">
        <f>"0484568"</f>
        <v>0484568</v>
      </c>
      <c r="B132" s="10" t="s">
        <v>3129</v>
      </c>
      <c r="C132" s="133" t="str">
        <f>"627843675396"</f>
        <v>627843675396</v>
      </c>
      <c r="D132" s="133" t="s">
        <v>48</v>
      </c>
      <c r="E132" s="10" t="s">
        <v>5</v>
      </c>
      <c r="F132" s="96">
        <v>44096</v>
      </c>
    </row>
    <row r="133" spans="1:6" ht="13.7" hidden="1" customHeight="1" x14ac:dyDescent="0.3">
      <c r="A133" s="155" t="str">
        <f>"0016156"</f>
        <v>0016156</v>
      </c>
      <c r="B133" s="10" t="s">
        <v>3128</v>
      </c>
      <c r="C133" s="133" t="str">
        <f>"691245000032"</f>
        <v>691245000032</v>
      </c>
      <c r="D133" s="133" t="s">
        <v>25</v>
      </c>
      <c r="E133" s="10" t="s">
        <v>5</v>
      </c>
      <c r="F133" s="96">
        <v>44096</v>
      </c>
    </row>
    <row r="134" spans="1:6" hidden="1" x14ac:dyDescent="0.3">
      <c r="A134" s="155" t="str">
        <f>"0143594"</f>
        <v>0143594</v>
      </c>
      <c r="B134" s="10" t="s">
        <v>3127</v>
      </c>
      <c r="C134" s="133" t="str">
        <f>"834873000252"</f>
        <v>834873000252</v>
      </c>
      <c r="D134" s="133" t="s">
        <v>25</v>
      </c>
      <c r="E134" s="10" t="s">
        <v>5</v>
      </c>
      <c r="F134" s="96">
        <v>44110</v>
      </c>
    </row>
    <row r="135" spans="1:6" hidden="1" x14ac:dyDescent="0.3">
      <c r="A135" s="155" t="str">
        <f>"0359851"</f>
        <v>0359851</v>
      </c>
      <c r="B135" s="10" t="s">
        <v>3125</v>
      </c>
      <c r="C135" s="133" t="str">
        <f>"4053400068749"</f>
        <v>4053400068749</v>
      </c>
      <c r="D135" s="133" t="s">
        <v>29</v>
      </c>
      <c r="E135" s="10" t="s">
        <v>5</v>
      </c>
      <c r="F135" s="96">
        <v>44110</v>
      </c>
    </row>
    <row r="136" spans="1:6" hidden="1" x14ac:dyDescent="0.3">
      <c r="A136" s="155" t="str">
        <f>"0457044"</f>
        <v>0457044</v>
      </c>
      <c r="B136" s="10" t="s">
        <v>284</v>
      </c>
      <c r="C136" s="133" t="str">
        <f>"627843471233"</f>
        <v>627843471233</v>
      </c>
      <c r="D136" s="133" t="s">
        <v>285</v>
      </c>
      <c r="E136" s="10" t="s">
        <v>5</v>
      </c>
      <c r="F136" s="96">
        <v>44110</v>
      </c>
    </row>
    <row r="137" spans="1:6" hidden="1" x14ac:dyDescent="0.3">
      <c r="A137" s="155" t="str">
        <f>"0467167"</f>
        <v>0467167</v>
      </c>
      <c r="B137" s="10" t="s">
        <v>3124</v>
      </c>
      <c r="C137" s="133" t="str">
        <f>"627843405122"</f>
        <v>627843405122</v>
      </c>
      <c r="D137" s="133" t="s">
        <v>25</v>
      </c>
      <c r="E137" s="10" t="s">
        <v>5</v>
      </c>
      <c r="F137" s="96">
        <v>44103</v>
      </c>
    </row>
    <row r="138" spans="1:6" hidden="1" x14ac:dyDescent="0.3">
      <c r="A138" s="155" t="str">
        <f>"0574400"</f>
        <v>0574400</v>
      </c>
      <c r="B138" s="10" t="s">
        <v>3123</v>
      </c>
      <c r="C138" s="133" t="str">
        <f>"870766000695"</f>
        <v>870766000695</v>
      </c>
      <c r="D138" s="133" t="s">
        <v>25</v>
      </c>
      <c r="E138" s="10" t="s">
        <v>5</v>
      </c>
      <c r="F138" s="96">
        <v>44103</v>
      </c>
    </row>
    <row r="139" spans="1:6" hidden="1" x14ac:dyDescent="0.3">
      <c r="A139" s="155" t="str">
        <f>"0015885"</f>
        <v>0015885</v>
      </c>
      <c r="B139" s="10" t="s">
        <v>3122</v>
      </c>
      <c r="C139" s="133" t="str">
        <f>"051497150280"</f>
        <v>051497150280</v>
      </c>
      <c r="D139" s="133" t="s">
        <v>124</v>
      </c>
      <c r="E139" s="10" t="s">
        <v>5</v>
      </c>
      <c r="F139" s="96">
        <v>44124</v>
      </c>
    </row>
    <row r="140" spans="1:6" hidden="1" x14ac:dyDescent="0.3">
      <c r="A140" s="155">
        <v>263640</v>
      </c>
      <c r="B140" s="10" t="s">
        <v>3118</v>
      </c>
      <c r="C140" s="133">
        <v>631470000018</v>
      </c>
      <c r="D140" s="133" t="s">
        <v>202</v>
      </c>
      <c r="E140" s="10" t="s">
        <v>5</v>
      </c>
      <c r="F140" s="96">
        <v>44082</v>
      </c>
    </row>
    <row r="141" spans="1:6" hidden="1" x14ac:dyDescent="0.3">
      <c r="A141" s="155">
        <v>586750</v>
      </c>
      <c r="B141" s="10" t="s">
        <v>3119</v>
      </c>
      <c r="C141" s="117" t="s">
        <v>3121</v>
      </c>
      <c r="D141" s="133" t="s">
        <v>202</v>
      </c>
      <c r="E141" s="10" t="s">
        <v>5</v>
      </c>
      <c r="F141" s="96">
        <v>44082</v>
      </c>
    </row>
    <row r="142" spans="1:6" hidden="1" x14ac:dyDescent="0.3">
      <c r="A142" s="155">
        <v>629337</v>
      </c>
      <c r="B142" s="10" t="s">
        <v>3120</v>
      </c>
      <c r="C142" s="133">
        <v>8003625000518</v>
      </c>
      <c r="D142" s="133" t="s">
        <v>202</v>
      </c>
      <c r="E142" s="10" t="s">
        <v>5</v>
      </c>
      <c r="F142" s="96">
        <v>44082</v>
      </c>
    </row>
    <row r="143" spans="1:6" ht="27.95" hidden="1" x14ac:dyDescent="0.3">
      <c r="A143" s="155">
        <v>482026</v>
      </c>
      <c r="B143" s="10" t="s">
        <v>3116</v>
      </c>
      <c r="C143" s="133">
        <v>3185370074831</v>
      </c>
      <c r="D143" s="133" t="s">
        <v>202</v>
      </c>
      <c r="E143" s="132" t="s">
        <v>3117</v>
      </c>
      <c r="F143" s="96">
        <v>44082</v>
      </c>
    </row>
    <row r="144" spans="1:6" hidden="1" x14ac:dyDescent="0.3">
      <c r="A144" s="155">
        <v>14981</v>
      </c>
      <c r="B144" s="10" t="s">
        <v>3115</v>
      </c>
      <c r="C144" s="133">
        <v>779376665112</v>
      </c>
      <c r="D144" s="133" t="s">
        <v>202</v>
      </c>
      <c r="E144" s="10" t="s">
        <v>5</v>
      </c>
      <c r="F144" s="96">
        <v>44082</v>
      </c>
    </row>
    <row r="145" spans="1:6" ht="27.95" hidden="1" x14ac:dyDescent="0.3">
      <c r="A145" s="155" t="s">
        <v>3107</v>
      </c>
      <c r="B145" s="10" t="s">
        <v>3108</v>
      </c>
      <c r="C145" s="133" t="s">
        <v>3109</v>
      </c>
      <c r="D145" s="133" t="s">
        <v>455</v>
      </c>
      <c r="E145" s="132" t="s">
        <v>3113</v>
      </c>
      <c r="F145" s="96">
        <v>44096</v>
      </c>
    </row>
    <row r="146" spans="1:6" ht="27.95" hidden="1" x14ac:dyDescent="0.3">
      <c r="A146" s="155" t="s">
        <v>3110</v>
      </c>
      <c r="B146" s="10" t="s">
        <v>3111</v>
      </c>
      <c r="C146" s="133" t="s">
        <v>3112</v>
      </c>
      <c r="D146" s="133" t="s">
        <v>48</v>
      </c>
      <c r="E146" s="132" t="s">
        <v>3114</v>
      </c>
      <c r="F146" s="96">
        <v>44096</v>
      </c>
    </row>
    <row r="147" spans="1:6" ht="41.95" hidden="1" x14ac:dyDescent="0.3">
      <c r="A147" s="155">
        <v>464065</v>
      </c>
      <c r="B147" s="10" t="s">
        <v>3104</v>
      </c>
      <c r="C147" s="133">
        <v>56327010949</v>
      </c>
      <c r="D147" s="133" t="s">
        <v>3105</v>
      </c>
      <c r="E147" s="132" t="s">
        <v>3106</v>
      </c>
      <c r="F147" s="96">
        <v>44096</v>
      </c>
    </row>
    <row r="148" spans="1:6" ht="41.95" hidden="1" x14ac:dyDescent="0.3">
      <c r="A148" s="155" t="str">
        <f>"0487256"</f>
        <v>0487256</v>
      </c>
      <c r="B148" s="10" t="s">
        <v>3056</v>
      </c>
      <c r="C148" s="133" t="str">
        <f>"5410228141266"</f>
        <v>5410228141266</v>
      </c>
      <c r="D148" s="133" t="s">
        <v>29</v>
      </c>
      <c r="E148" s="132" t="s">
        <v>3102</v>
      </c>
      <c r="F148" s="96">
        <v>44089</v>
      </c>
    </row>
    <row r="149" spans="1:6" hidden="1" x14ac:dyDescent="0.3">
      <c r="A149" s="155" t="str">
        <f>"0125435"</f>
        <v>0125435</v>
      </c>
      <c r="B149" s="10" t="s">
        <v>3100</v>
      </c>
      <c r="C149" s="133" t="str">
        <f>"4105120043879"</f>
        <v>4105120043879</v>
      </c>
      <c r="D149" s="133" t="s">
        <v>48</v>
      </c>
      <c r="E149" s="144" t="s">
        <v>3101</v>
      </c>
      <c r="F149" s="96">
        <v>44077</v>
      </c>
    </row>
    <row r="150" spans="1:6" hidden="1" x14ac:dyDescent="0.3">
      <c r="A150" s="155" t="str">
        <f>"0616110"</f>
        <v>0616110</v>
      </c>
      <c r="B150" s="10" t="s">
        <v>3099</v>
      </c>
      <c r="C150" s="133" t="str">
        <f>"020507010067"</f>
        <v>020507010067</v>
      </c>
      <c r="D150" s="133" t="s">
        <v>37</v>
      </c>
      <c r="E150" s="10" t="s">
        <v>5</v>
      </c>
      <c r="F150" s="96">
        <v>44096</v>
      </c>
    </row>
    <row r="151" spans="1:6" hidden="1" x14ac:dyDescent="0.3">
      <c r="A151" s="155" t="str">
        <f>"0013931"</f>
        <v>0013931</v>
      </c>
      <c r="B151" s="10" t="s">
        <v>3098</v>
      </c>
      <c r="C151" s="133" t="str">
        <f>"776029704686"</f>
        <v>776029704686</v>
      </c>
      <c r="D151" s="133" t="s">
        <v>25</v>
      </c>
      <c r="E151" s="10" t="s">
        <v>5</v>
      </c>
      <c r="F151" s="96">
        <v>44076</v>
      </c>
    </row>
    <row r="152" spans="1:6" hidden="1" x14ac:dyDescent="0.3">
      <c r="A152" s="155" t="str">
        <f>"0514877"</f>
        <v>0514877</v>
      </c>
      <c r="B152" s="10" t="s">
        <v>3097</v>
      </c>
      <c r="C152" s="133" t="str">
        <f>"627843643500"</f>
        <v>627843643500</v>
      </c>
      <c r="D152" s="133" t="s">
        <v>25</v>
      </c>
      <c r="E152" s="10" t="s">
        <v>5</v>
      </c>
      <c r="F152" s="96">
        <v>44076</v>
      </c>
    </row>
    <row r="153" spans="1:6" hidden="1" x14ac:dyDescent="0.3">
      <c r="A153" s="155" t="str">
        <f>"0032359"</f>
        <v>0032359</v>
      </c>
      <c r="B153" s="10" t="s">
        <v>1014</v>
      </c>
      <c r="C153" s="133" t="str">
        <f>"9003100120037"</f>
        <v>9003100120037</v>
      </c>
      <c r="D153" s="133" t="s">
        <v>48</v>
      </c>
      <c r="E153" s="144" t="s">
        <v>3096</v>
      </c>
      <c r="F153" s="96">
        <v>44089</v>
      </c>
    </row>
    <row r="154" spans="1:6" hidden="1" x14ac:dyDescent="0.3">
      <c r="A154" s="155" t="str">
        <f>"0469262"</f>
        <v>0469262</v>
      </c>
      <c r="B154" s="10" t="s">
        <v>3094</v>
      </c>
      <c r="C154" s="133" t="str">
        <f>"9001511100617"</f>
        <v>9001511100617</v>
      </c>
      <c r="D154" s="133" t="s">
        <v>48</v>
      </c>
      <c r="E154" s="144" t="s">
        <v>3095</v>
      </c>
      <c r="F154" s="96">
        <v>44089</v>
      </c>
    </row>
    <row r="155" spans="1:6" x14ac:dyDescent="0.3">
      <c r="A155" s="155">
        <v>616276</v>
      </c>
      <c r="B155" s="10" t="s">
        <v>3092</v>
      </c>
      <c r="C155" s="133">
        <v>8002062000419</v>
      </c>
      <c r="D155" s="133" t="s">
        <v>496</v>
      </c>
      <c r="E155" s="144" t="s">
        <v>3093</v>
      </c>
      <c r="F155" s="96">
        <v>44096</v>
      </c>
    </row>
    <row r="156" spans="1:6" x14ac:dyDescent="0.3">
      <c r="A156" s="155">
        <v>285585</v>
      </c>
      <c r="B156" s="10" t="s">
        <v>3091</v>
      </c>
      <c r="C156" s="133">
        <v>8002062000037</v>
      </c>
      <c r="D156" s="133" t="s">
        <v>202</v>
      </c>
      <c r="E156" s="144" t="s">
        <v>3090</v>
      </c>
      <c r="F156" s="96">
        <v>44096</v>
      </c>
    </row>
    <row r="157" spans="1:6" ht="28.35" hidden="1" customHeight="1" x14ac:dyDescent="0.3">
      <c r="A157" s="155">
        <v>688549</v>
      </c>
      <c r="B157" s="10" t="s">
        <v>3089</v>
      </c>
      <c r="C157" s="133">
        <v>874537002147</v>
      </c>
      <c r="D157" s="133" t="s">
        <v>202</v>
      </c>
      <c r="E157" s="144" t="s">
        <v>3082</v>
      </c>
      <c r="F157" s="96">
        <v>44070</v>
      </c>
    </row>
    <row r="158" spans="1:6" ht="27.95" hidden="1" x14ac:dyDescent="0.3">
      <c r="A158" s="155">
        <v>688556</v>
      </c>
      <c r="B158" s="10" t="s">
        <v>3088</v>
      </c>
      <c r="C158" s="133">
        <v>874537000143</v>
      </c>
      <c r="D158" s="133" t="s">
        <v>202</v>
      </c>
      <c r="E158" s="144" t="s">
        <v>3082</v>
      </c>
      <c r="F158" s="96">
        <v>44070</v>
      </c>
    </row>
    <row r="159" spans="1:6" hidden="1" x14ac:dyDescent="0.3">
      <c r="A159" s="155" t="str">
        <f>"0365601"</f>
        <v>0365601</v>
      </c>
      <c r="B159" s="10" t="s">
        <v>458</v>
      </c>
      <c r="C159" s="133" t="str">
        <f>"087692001355"</f>
        <v>087692001355</v>
      </c>
      <c r="D159" s="133" t="s">
        <v>25</v>
      </c>
      <c r="E159" s="10" t="s">
        <v>3087</v>
      </c>
      <c r="F159" s="96">
        <v>44070</v>
      </c>
    </row>
    <row r="160" spans="1:6" hidden="1" x14ac:dyDescent="0.3">
      <c r="A160" s="155" t="str">
        <f>"0497701"</f>
        <v>0497701</v>
      </c>
      <c r="B160" s="10" t="s">
        <v>2720</v>
      </c>
      <c r="C160" s="133" t="str">
        <f>"628055606116"</f>
        <v>628055606116</v>
      </c>
      <c r="D160" s="133" t="s">
        <v>25</v>
      </c>
      <c r="E160" s="10" t="s">
        <v>5</v>
      </c>
      <c r="F160" s="96">
        <v>44089</v>
      </c>
    </row>
    <row r="161" spans="1:6" hidden="1" x14ac:dyDescent="0.3">
      <c r="A161" s="155" t="str">
        <f>"0217331"</f>
        <v>0217331</v>
      </c>
      <c r="B161" s="10" t="s">
        <v>3084</v>
      </c>
      <c r="C161" s="133" t="str">
        <f>"8716700015993"</f>
        <v>8716700015993</v>
      </c>
      <c r="D161" s="133" t="s">
        <v>3085</v>
      </c>
      <c r="E161" s="144" t="s">
        <v>3086</v>
      </c>
      <c r="F161" s="96">
        <v>44124</v>
      </c>
    </row>
    <row r="162" spans="1:6" ht="27.95" hidden="1" x14ac:dyDescent="0.3">
      <c r="A162" s="155">
        <v>16953</v>
      </c>
      <c r="B162" s="10" t="s">
        <v>3081</v>
      </c>
      <c r="C162" s="133">
        <v>874537002208</v>
      </c>
      <c r="D162" s="133" t="s">
        <v>202</v>
      </c>
      <c r="E162" s="144" t="s">
        <v>3082</v>
      </c>
      <c r="F162" s="96">
        <v>44068</v>
      </c>
    </row>
    <row r="163" spans="1:6" ht="27.95" hidden="1" x14ac:dyDescent="0.3">
      <c r="A163" s="155">
        <v>16958</v>
      </c>
      <c r="B163" s="10" t="s">
        <v>3083</v>
      </c>
      <c r="C163" s="133">
        <v>874537002215</v>
      </c>
      <c r="D163" s="133" t="s">
        <v>202</v>
      </c>
      <c r="E163" s="144" t="s">
        <v>3082</v>
      </c>
      <c r="F163" s="96">
        <v>44068</v>
      </c>
    </row>
    <row r="164" spans="1:6" hidden="1" x14ac:dyDescent="0.3">
      <c r="A164" s="155" t="str">
        <f>"0475467"</f>
        <v>0475467</v>
      </c>
      <c r="B164" s="10" t="s">
        <v>3080</v>
      </c>
      <c r="C164" s="133" t="str">
        <f>"9421027895102"</f>
        <v>9421027895102</v>
      </c>
      <c r="D164" s="133" t="s">
        <v>60</v>
      </c>
      <c r="E164" s="10" t="s">
        <v>5</v>
      </c>
      <c r="F164" s="96">
        <v>44083</v>
      </c>
    </row>
    <row r="165" spans="1:6" hidden="1" x14ac:dyDescent="0.3">
      <c r="A165" s="155">
        <v>647339</v>
      </c>
      <c r="B165" s="10" t="s">
        <v>3079</v>
      </c>
      <c r="C165" s="133">
        <v>9311043834813</v>
      </c>
      <c r="D165" s="133" t="s">
        <v>202</v>
      </c>
      <c r="E165" s="10" t="s">
        <v>5</v>
      </c>
      <c r="F165" s="96">
        <v>44068</v>
      </c>
    </row>
    <row r="166" spans="1:6" ht="27.95" hidden="1" x14ac:dyDescent="0.3">
      <c r="A166" s="155" t="str">
        <f>"0571786"</f>
        <v>0571786</v>
      </c>
      <c r="B166" s="10" t="s">
        <v>2575</v>
      </c>
      <c r="C166" s="133" t="str">
        <f>"400003987863"</f>
        <v>400003987863</v>
      </c>
      <c r="D166" s="133" t="s">
        <v>25</v>
      </c>
      <c r="E166" s="132" t="s">
        <v>3078</v>
      </c>
      <c r="F166" s="96">
        <v>44083</v>
      </c>
    </row>
    <row r="167" spans="1:6" hidden="1" x14ac:dyDescent="0.3">
      <c r="A167" s="155" t="str">
        <f>"0568410"</f>
        <v>0568410</v>
      </c>
      <c r="B167" s="10" t="s">
        <v>3077</v>
      </c>
      <c r="C167" s="163" t="str">
        <f>"8716700017423"</f>
        <v>8716700017423</v>
      </c>
      <c r="D167" s="133" t="s">
        <v>48</v>
      </c>
      <c r="E167" s="10" t="s">
        <v>5</v>
      </c>
      <c r="F167" s="96">
        <v>44083</v>
      </c>
    </row>
    <row r="168" spans="1:6" hidden="1" x14ac:dyDescent="0.3">
      <c r="A168" s="155" t="s">
        <v>3071</v>
      </c>
      <c r="B168" s="10" t="s">
        <v>3072</v>
      </c>
      <c r="C168" s="163" t="s">
        <v>3073</v>
      </c>
      <c r="D168" s="133" t="s">
        <v>124</v>
      </c>
      <c r="E168" s="10" t="s">
        <v>5</v>
      </c>
      <c r="F168" s="96">
        <v>44083</v>
      </c>
    </row>
    <row r="169" spans="1:6" hidden="1" x14ac:dyDescent="0.3">
      <c r="A169" s="155" t="s">
        <v>3074</v>
      </c>
      <c r="B169" s="10" t="s">
        <v>3075</v>
      </c>
      <c r="C169" s="163" t="s">
        <v>3076</v>
      </c>
      <c r="D169" s="133" t="s">
        <v>25</v>
      </c>
      <c r="E169" s="10" t="s">
        <v>5</v>
      </c>
      <c r="F169" s="96">
        <v>44083</v>
      </c>
    </row>
    <row r="170" spans="1:6" hidden="1" x14ac:dyDescent="0.3">
      <c r="A170" s="155">
        <v>53934</v>
      </c>
      <c r="B170" s="10" t="s">
        <v>1153</v>
      </c>
      <c r="C170" s="163">
        <v>874537000525</v>
      </c>
      <c r="D170" s="133" t="s">
        <v>202</v>
      </c>
      <c r="E170" s="10" t="s">
        <v>5</v>
      </c>
      <c r="F170" s="96">
        <v>44061</v>
      </c>
    </row>
    <row r="171" spans="1:6" hidden="1" x14ac:dyDescent="0.3">
      <c r="A171" s="155">
        <v>545723</v>
      </c>
      <c r="B171" s="10" t="s">
        <v>3070</v>
      </c>
      <c r="C171" s="163">
        <v>7791728010411</v>
      </c>
      <c r="D171" s="133" t="s">
        <v>202</v>
      </c>
      <c r="E171" s="10" t="s">
        <v>5</v>
      </c>
      <c r="F171" s="96">
        <v>44061</v>
      </c>
    </row>
    <row r="172" spans="1:6" hidden="1" x14ac:dyDescent="0.3">
      <c r="A172" s="155" t="str">
        <f>"0010244"</f>
        <v>0010244</v>
      </c>
      <c r="B172" s="10" t="s">
        <v>3068</v>
      </c>
      <c r="C172" s="162" t="str">
        <f>"627843483441"</f>
        <v>627843483441</v>
      </c>
      <c r="D172" s="133" t="s">
        <v>25</v>
      </c>
      <c r="E172" s="10" t="s">
        <v>3069</v>
      </c>
      <c r="F172" s="96">
        <v>44075</v>
      </c>
    </row>
    <row r="173" spans="1:6" hidden="1" x14ac:dyDescent="0.3">
      <c r="A173" s="155">
        <v>295105</v>
      </c>
      <c r="B173" s="10" t="s">
        <v>3065</v>
      </c>
      <c r="C173" s="162" t="s">
        <v>3066</v>
      </c>
      <c r="D173" s="133" t="s">
        <v>202</v>
      </c>
      <c r="E173" s="10" t="s">
        <v>3067</v>
      </c>
      <c r="F173" s="96">
        <v>44075</v>
      </c>
    </row>
    <row r="174" spans="1:6" hidden="1" x14ac:dyDescent="0.3">
      <c r="A174" s="155" t="str">
        <f>"0015646"</f>
        <v>0015646</v>
      </c>
      <c r="B174" s="10" t="s">
        <v>3060</v>
      </c>
      <c r="C174" s="102" t="str">
        <f>"056327015418"</f>
        <v>056327015418</v>
      </c>
      <c r="D174" s="133" t="s">
        <v>25</v>
      </c>
      <c r="E174" s="10" t="s">
        <v>5</v>
      </c>
      <c r="F174" s="96">
        <v>44083</v>
      </c>
    </row>
    <row r="175" spans="1:6" hidden="1" x14ac:dyDescent="0.3">
      <c r="A175" s="155" t="str">
        <f>"0010476"</f>
        <v>0010476</v>
      </c>
      <c r="B175" s="10" t="s">
        <v>3061</v>
      </c>
      <c r="C175" s="102" t="str">
        <f>"056327014039"</f>
        <v>056327014039</v>
      </c>
      <c r="D175" s="133" t="s">
        <v>25</v>
      </c>
      <c r="E175" s="10" t="s">
        <v>5</v>
      </c>
      <c r="F175" s="96">
        <v>44083</v>
      </c>
    </row>
    <row r="176" spans="1:6" hidden="1" x14ac:dyDescent="0.3">
      <c r="A176" s="155" t="str">
        <f>"0015257"</f>
        <v>0015257</v>
      </c>
      <c r="B176" s="10" t="s">
        <v>3062</v>
      </c>
      <c r="C176" s="102" t="str">
        <f>"627005031145"</f>
        <v>627005031145</v>
      </c>
      <c r="D176" s="133" t="s">
        <v>124</v>
      </c>
      <c r="E176" s="10" t="s">
        <v>5</v>
      </c>
      <c r="F176" s="96">
        <v>44083</v>
      </c>
    </row>
    <row r="177" spans="1:6" hidden="1" x14ac:dyDescent="0.3">
      <c r="A177" s="155" t="str">
        <f>"0015655"</f>
        <v>0015655</v>
      </c>
      <c r="B177" s="10" t="s">
        <v>3063</v>
      </c>
      <c r="C177" s="102" t="str">
        <f>"779446203336"</f>
        <v>779446203336</v>
      </c>
      <c r="D177" s="133" t="s">
        <v>25</v>
      </c>
      <c r="E177" s="10" t="s">
        <v>5</v>
      </c>
      <c r="F177" s="96">
        <v>44083</v>
      </c>
    </row>
    <row r="178" spans="1:6" hidden="1" x14ac:dyDescent="0.3">
      <c r="A178" s="155" t="str">
        <f>"0015927"</f>
        <v>0015927</v>
      </c>
      <c r="B178" s="10" t="s">
        <v>3064</v>
      </c>
      <c r="C178" s="102" t="str">
        <f>"779446203855"</f>
        <v>779446203855</v>
      </c>
      <c r="D178" s="133" t="s">
        <v>25</v>
      </c>
      <c r="E178" s="10" t="s">
        <v>5</v>
      </c>
      <c r="F178" s="96">
        <v>44083</v>
      </c>
    </row>
    <row r="179" spans="1:6" hidden="1" x14ac:dyDescent="0.3">
      <c r="A179" s="155" t="str">
        <f>"0015524"</f>
        <v>0015524</v>
      </c>
      <c r="B179" s="10" t="s">
        <v>3059</v>
      </c>
      <c r="C179" s="133" t="str">
        <f>"062067380570"</f>
        <v>062067380570</v>
      </c>
      <c r="D179" s="133" t="s">
        <v>37</v>
      </c>
      <c r="E179" s="10" t="s">
        <v>5</v>
      </c>
      <c r="F179" s="96">
        <v>44057</v>
      </c>
    </row>
    <row r="180" spans="1:6" ht="27.95" hidden="1" x14ac:dyDescent="0.3">
      <c r="A180" s="155" t="str">
        <f>"0016786"</f>
        <v>0016786</v>
      </c>
      <c r="B180" s="10" t="s">
        <v>2945</v>
      </c>
      <c r="C180" s="133" t="str">
        <f>"628669092541"</f>
        <v>628669092541</v>
      </c>
      <c r="D180" s="133" t="s">
        <v>25</v>
      </c>
      <c r="E180" s="132" t="s">
        <v>3058</v>
      </c>
      <c r="F180" s="96">
        <v>44055</v>
      </c>
    </row>
    <row r="181" spans="1:6" ht="27.95" hidden="1" x14ac:dyDescent="0.3">
      <c r="A181" s="95">
        <v>146829</v>
      </c>
      <c r="B181" s="10" t="s">
        <v>2963</v>
      </c>
      <c r="C181" s="133">
        <v>874537033141</v>
      </c>
      <c r="D181" s="133" t="s">
        <v>2551</v>
      </c>
      <c r="E181" s="132" t="s">
        <v>3057</v>
      </c>
      <c r="F181" s="96">
        <v>44068</v>
      </c>
    </row>
    <row r="182" spans="1:6" ht="41.95" hidden="1" x14ac:dyDescent="0.3">
      <c r="A182" s="164" t="str">
        <f>"0487256"</f>
        <v>0487256</v>
      </c>
      <c r="B182" s="165" t="s">
        <v>3056</v>
      </c>
      <c r="C182" s="166" t="str">
        <f>"5410228141266"</f>
        <v>5410228141266</v>
      </c>
      <c r="D182" s="166" t="s">
        <v>29</v>
      </c>
      <c r="E182" s="167" t="s">
        <v>3103</v>
      </c>
      <c r="F182" s="111">
        <v>44083</v>
      </c>
    </row>
    <row r="183" spans="1:6" hidden="1" x14ac:dyDescent="0.3">
      <c r="A183" s="155">
        <v>438077</v>
      </c>
      <c r="B183" s="10" t="s">
        <v>3055</v>
      </c>
      <c r="C183" s="102">
        <v>48162014985</v>
      </c>
      <c r="D183" s="133" t="s">
        <v>202</v>
      </c>
      <c r="E183" s="10" t="s">
        <v>5</v>
      </c>
      <c r="F183" s="96">
        <v>44068</v>
      </c>
    </row>
    <row r="184" spans="1:6" ht="27.95" hidden="1" x14ac:dyDescent="0.3">
      <c r="A184" s="155">
        <v>284026</v>
      </c>
      <c r="B184" s="10" t="s">
        <v>3053</v>
      </c>
      <c r="C184" s="133">
        <v>12086322310</v>
      </c>
      <c r="D184" s="133" t="s">
        <v>202</v>
      </c>
      <c r="E184" s="132" t="s">
        <v>3054</v>
      </c>
      <c r="F184" s="96">
        <v>44075</v>
      </c>
    </row>
    <row r="185" spans="1:6" hidden="1" x14ac:dyDescent="0.3">
      <c r="A185" s="155" t="str">
        <f>"0458604"</f>
        <v>0458604</v>
      </c>
      <c r="B185" s="10" t="s">
        <v>194</v>
      </c>
      <c r="C185" s="133" t="str">
        <f>"612554008007"</f>
        <v>612554008007</v>
      </c>
      <c r="D185" s="133" t="s">
        <v>25</v>
      </c>
      <c r="E185" s="10" t="s">
        <v>5</v>
      </c>
      <c r="F185" s="96">
        <v>44054</v>
      </c>
    </row>
    <row r="186" spans="1:6" hidden="1" x14ac:dyDescent="0.3">
      <c r="A186" s="155" t="str">
        <f>"0498931"</f>
        <v>0498931</v>
      </c>
      <c r="B186" s="10" t="s">
        <v>3052</v>
      </c>
      <c r="C186" s="117" t="str">
        <f>"627843731719"</f>
        <v>627843731719</v>
      </c>
      <c r="D186" s="133" t="s">
        <v>25</v>
      </c>
      <c r="E186" s="10" t="s">
        <v>5</v>
      </c>
      <c r="F186" s="96">
        <v>44068</v>
      </c>
    </row>
    <row r="187" spans="1:6" hidden="1" x14ac:dyDescent="0.3">
      <c r="A187" s="155" t="str">
        <f>"0560060"</f>
        <v>0560060</v>
      </c>
      <c r="B187" s="10" t="s">
        <v>3051</v>
      </c>
      <c r="C187" s="117" t="str">
        <f>"628451269144"</f>
        <v>628451269144</v>
      </c>
      <c r="D187" s="133" t="s">
        <v>25</v>
      </c>
      <c r="E187" s="10" t="s">
        <v>5</v>
      </c>
      <c r="F187" s="96">
        <v>44068</v>
      </c>
    </row>
    <row r="188" spans="1:6" hidden="1" x14ac:dyDescent="0.3">
      <c r="A188" s="155" t="str">
        <f>"0010377"</f>
        <v>0010377</v>
      </c>
      <c r="B188" s="10" t="s">
        <v>3050</v>
      </c>
      <c r="C188" s="117" t="str">
        <f>"7350064992463"</f>
        <v>7350064992463</v>
      </c>
      <c r="D188" s="133" t="s">
        <v>25</v>
      </c>
      <c r="E188" s="10" t="s">
        <v>5</v>
      </c>
      <c r="F188" s="96">
        <v>44068</v>
      </c>
    </row>
    <row r="189" spans="1:6" hidden="1" x14ac:dyDescent="0.3">
      <c r="A189" s="155" t="str">
        <f>"0644328"</f>
        <v>0644328</v>
      </c>
      <c r="B189" s="10" t="s">
        <v>3049</v>
      </c>
      <c r="C189" s="117" t="str">
        <f>"5704255115315"</f>
        <v>5704255115315</v>
      </c>
      <c r="D189" s="133" t="s">
        <v>25</v>
      </c>
      <c r="E189" s="10" t="s">
        <v>5</v>
      </c>
      <c r="F189" s="96">
        <v>44050</v>
      </c>
    </row>
    <row r="190" spans="1:6" hidden="1" x14ac:dyDescent="0.3">
      <c r="A190" s="155" t="str">
        <f>"0459396"</f>
        <v>0459396</v>
      </c>
      <c r="B190" s="10" t="s">
        <v>3048</v>
      </c>
      <c r="C190" s="117" t="str">
        <f>"815833006088"</f>
        <v>815833006088</v>
      </c>
      <c r="D190" s="133" t="s">
        <v>48</v>
      </c>
      <c r="E190" s="10" t="s">
        <v>5</v>
      </c>
      <c r="F190" s="96">
        <v>44068</v>
      </c>
    </row>
    <row r="191" spans="1:6" hidden="1" x14ac:dyDescent="0.3">
      <c r="A191" s="155">
        <v>12287</v>
      </c>
      <c r="B191" s="10" t="s">
        <v>3046</v>
      </c>
      <c r="C191" s="117" t="s">
        <v>3047</v>
      </c>
      <c r="D191" s="133" t="s">
        <v>202</v>
      </c>
      <c r="E191" s="10" t="s">
        <v>5</v>
      </c>
      <c r="F191" s="96">
        <v>44048</v>
      </c>
    </row>
    <row r="192" spans="1:6" hidden="1" x14ac:dyDescent="0.3">
      <c r="A192" s="155" t="str">
        <f>"0559740"</f>
        <v>0559740</v>
      </c>
      <c r="B192" s="10" t="s">
        <v>2527</v>
      </c>
      <c r="C192" s="133" t="str">
        <f>"628669010057"</f>
        <v>628669010057</v>
      </c>
      <c r="D192" s="133" t="s">
        <v>25</v>
      </c>
      <c r="E192" s="10" t="s">
        <v>5</v>
      </c>
      <c r="F192" s="96">
        <v>44061</v>
      </c>
    </row>
    <row r="193" spans="1:6" hidden="1" x14ac:dyDescent="0.3">
      <c r="A193" s="155" t="str">
        <f>"0015471"</f>
        <v>0015471</v>
      </c>
      <c r="B193" s="10" t="s">
        <v>3045</v>
      </c>
      <c r="C193" s="133" t="str">
        <f>"627843675471"</f>
        <v>627843675471</v>
      </c>
      <c r="D193" s="133" t="s">
        <v>25</v>
      </c>
      <c r="E193" s="10" t="s">
        <v>5</v>
      </c>
      <c r="F193" s="96">
        <v>44061</v>
      </c>
    </row>
    <row r="194" spans="1:6" hidden="1" x14ac:dyDescent="0.3">
      <c r="A194" s="155" t="str">
        <f>"0248138"</f>
        <v>0248138</v>
      </c>
      <c r="B194" s="10" t="s">
        <v>3044</v>
      </c>
      <c r="C194" s="133" t="str">
        <f>"4823005000174"</f>
        <v>4823005000174</v>
      </c>
      <c r="D194" s="133" t="s">
        <v>48</v>
      </c>
      <c r="E194" s="10" t="s">
        <v>5</v>
      </c>
      <c r="F194" s="96">
        <v>44061</v>
      </c>
    </row>
    <row r="195" spans="1:6" s="142" customFormat="1" ht="27.95" hidden="1" x14ac:dyDescent="0.3">
      <c r="A195" s="140">
        <v>284570</v>
      </c>
      <c r="B195" s="10" t="s">
        <v>2867</v>
      </c>
      <c r="C195" s="151">
        <v>670459009994</v>
      </c>
      <c r="D195" s="133" t="s">
        <v>202</v>
      </c>
      <c r="E195" s="132" t="s">
        <v>3043</v>
      </c>
      <c r="F195" s="96">
        <v>44054</v>
      </c>
    </row>
    <row r="196" spans="1:6" hidden="1" x14ac:dyDescent="0.3">
      <c r="A196" s="155">
        <v>545780</v>
      </c>
      <c r="B196" s="10" t="s">
        <v>3041</v>
      </c>
      <c r="C196" s="117" t="s">
        <v>3040</v>
      </c>
      <c r="D196" s="133" t="s">
        <v>202</v>
      </c>
      <c r="E196" s="10" t="s">
        <v>3039</v>
      </c>
      <c r="F196" s="96">
        <v>44054</v>
      </c>
    </row>
    <row r="197" spans="1:6" hidden="1" x14ac:dyDescent="0.3">
      <c r="A197" s="155">
        <v>234369</v>
      </c>
      <c r="B197" s="10" t="s">
        <v>3036</v>
      </c>
      <c r="C197" s="117" t="s">
        <v>3037</v>
      </c>
      <c r="D197" s="133" t="s">
        <v>202</v>
      </c>
      <c r="E197" s="10" t="s">
        <v>3038</v>
      </c>
      <c r="F197" s="96">
        <v>44054</v>
      </c>
    </row>
    <row r="198" spans="1:6" hidden="1" x14ac:dyDescent="0.3">
      <c r="A198" s="155">
        <v>14130</v>
      </c>
      <c r="B198" s="10" t="s">
        <v>3042</v>
      </c>
      <c r="C198" s="117" t="s">
        <v>3034</v>
      </c>
      <c r="D198" s="133" t="s">
        <v>202</v>
      </c>
      <c r="E198" s="10" t="s">
        <v>3035</v>
      </c>
      <c r="F198" s="96">
        <v>44040</v>
      </c>
    </row>
    <row r="199" spans="1:6" ht="27.95" hidden="1" x14ac:dyDescent="0.3">
      <c r="A199" s="155" t="str">
        <f>"0515098"</f>
        <v>0515098</v>
      </c>
      <c r="B199" s="10" t="s">
        <v>3032</v>
      </c>
      <c r="C199" s="133" t="str">
        <f>"779315375188"</f>
        <v>779315375188</v>
      </c>
      <c r="D199" s="133" t="s">
        <v>25</v>
      </c>
      <c r="E199" s="144" t="s">
        <v>3033</v>
      </c>
      <c r="F199" s="96">
        <v>44037</v>
      </c>
    </row>
    <row r="200" spans="1:6" hidden="1" x14ac:dyDescent="0.3">
      <c r="A200" s="155" t="str">
        <f>"0421412"</f>
        <v>0421412</v>
      </c>
      <c r="B200" s="10" t="s">
        <v>3030</v>
      </c>
      <c r="C200" s="133" t="str">
        <f>"052338000016"</f>
        <v>052338000016</v>
      </c>
      <c r="D200" s="133" t="s">
        <v>25</v>
      </c>
      <c r="E200" s="10" t="s">
        <v>3031</v>
      </c>
      <c r="F200" s="96">
        <v>44054</v>
      </c>
    </row>
    <row r="201" spans="1:6" hidden="1" x14ac:dyDescent="0.3">
      <c r="A201" s="155" t="str">
        <f>"0015162"</f>
        <v>0015162</v>
      </c>
      <c r="B201" s="10" t="s">
        <v>3029</v>
      </c>
      <c r="C201" s="133" t="str">
        <f>"066542504000"</f>
        <v>066542504000</v>
      </c>
      <c r="D201" s="133" t="s">
        <v>25</v>
      </c>
      <c r="E201" s="10" t="s">
        <v>5</v>
      </c>
      <c r="F201" s="96">
        <v>44054</v>
      </c>
    </row>
    <row r="202" spans="1:6" hidden="1" x14ac:dyDescent="0.3">
      <c r="A202" s="155" t="str">
        <f>"0014180"</f>
        <v>0014180</v>
      </c>
      <c r="B202" s="10" t="s">
        <v>3028</v>
      </c>
      <c r="C202" s="133" t="str">
        <f>"628669091988"</f>
        <v>628669091988</v>
      </c>
      <c r="D202" s="133" t="s">
        <v>25</v>
      </c>
      <c r="E202" s="10" t="s">
        <v>5</v>
      </c>
      <c r="F202" s="96">
        <v>44048</v>
      </c>
    </row>
    <row r="203" spans="1:6" hidden="1" x14ac:dyDescent="0.3">
      <c r="A203" s="155" t="str">
        <f>"0557835"</f>
        <v>0557835</v>
      </c>
      <c r="B203" s="10" t="s">
        <v>3027</v>
      </c>
      <c r="C203" s="133" t="str">
        <f>"629114002610"</f>
        <v>629114002610</v>
      </c>
      <c r="D203" s="133" t="s">
        <v>202</v>
      </c>
      <c r="E203" s="10" t="s">
        <v>5</v>
      </c>
      <c r="F203" s="96">
        <v>44048</v>
      </c>
    </row>
    <row r="204" spans="1:6" s="39" customFormat="1" ht="27.95" hidden="1" x14ac:dyDescent="0.3">
      <c r="A204" s="161">
        <v>464669</v>
      </c>
      <c r="B204" s="144" t="s">
        <v>3026</v>
      </c>
      <c r="C204" s="159">
        <v>3179070184013</v>
      </c>
      <c r="D204" s="133" t="s">
        <v>202</v>
      </c>
      <c r="E204" s="132" t="s">
        <v>3023</v>
      </c>
      <c r="F204" s="96" t="s">
        <v>860</v>
      </c>
    </row>
    <row r="205" spans="1:6" s="39" customFormat="1" ht="27.95" hidden="1" x14ac:dyDescent="0.3">
      <c r="A205" s="161">
        <v>496349</v>
      </c>
      <c r="B205" s="144" t="s">
        <v>3025</v>
      </c>
      <c r="C205" s="159">
        <v>3179070188011</v>
      </c>
      <c r="D205" s="133" t="s">
        <v>202</v>
      </c>
      <c r="E205" s="132" t="s">
        <v>3024</v>
      </c>
      <c r="F205" s="96" t="s">
        <v>860</v>
      </c>
    </row>
    <row r="206" spans="1:6" s="39" customFormat="1" hidden="1" x14ac:dyDescent="0.3">
      <c r="A206" s="161">
        <v>394577</v>
      </c>
      <c r="B206" s="144" t="s">
        <v>3022</v>
      </c>
      <c r="C206" s="159">
        <v>8053904770052</v>
      </c>
      <c r="D206" s="133" t="s">
        <v>202</v>
      </c>
      <c r="E206" s="10" t="s">
        <v>5</v>
      </c>
      <c r="F206" s="96">
        <v>44040</v>
      </c>
    </row>
    <row r="207" spans="1:6" s="39" customFormat="1" ht="27.95" hidden="1" x14ac:dyDescent="0.3">
      <c r="A207" s="161">
        <v>469023</v>
      </c>
      <c r="B207" s="144" t="s">
        <v>3021</v>
      </c>
      <c r="C207" s="159">
        <v>670459007136</v>
      </c>
      <c r="D207" s="133" t="s">
        <v>202</v>
      </c>
      <c r="E207" s="132" t="s">
        <v>3020</v>
      </c>
      <c r="F207" s="96" t="s">
        <v>860</v>
      </c>
    </row>
    <row r="208" spans="1:6" s="39" customFormat="1" ht="27.95" hidden="1" x14ac:dyDescent="0.3">
      <c r="A208" s="161" t="str">
        <f>"0223768"</f>
        <v>0223768</v>
      </c>
      <c r="B208" s="144" t="s">
        <v>3018</v>
      </c>
      <c r="C208" s="159" t="str">
        <f>"4600682511014"</f>
        <v>4600682511014</v>
      </c>
      <c r="D208" s="159" t="s">
        <v>48</v>
      </c>
      <c r="E208" s="144" t="s">
        <v>3019</v>
      </c>
      <c r="F208" s="96">
        <v>44040</v>
      </c>
    </row>
    <row r="209" spans="1:6" hidden="1" x14ac:dyDescent="0.3">
      <c r="A209" s="155">
        <v>618132</v>
      </c>
      <c r="B209" s="10" t="s">
        <v>3016</v>
      </c>
      <c r="C209" s="133" t="str">
        <f>"628451805236"</f>
        <v>628451805236</v>
      </c>
      <c r="D209" s="133" t="s">
        <v>25</v>
      </c>
      <c r="E209" s="10" t="s">
        <v>3017</v>
      </c>
      <c r="F209" s="96">
        <v>44040</v>
      </c>
    </row>
    <row r="210" spans="1:6" hidden="1" x14ac:dyDescent="0.3">
      <c r="A210" s="155">
        <v>10060</v>
      </c>
      <c r="B210" s="10" t="s">
        <v>3015</v>
      </c>
      <c r="C210" s="133" t="str">
        <f>"062067377600"</f>
        <v>062067377600</v>
      </c>
      <c r="D210" s="133" t="s">
        <v>98</v>
      </c>
      <c r="E210" s="10" t="s">
        <v>5</v>
      </c>
      <c r="F210" s="96">
        <v>44040</v>
      </c>
    </row>
    <row r="211" spans="1:6" hidden="1" x14ac:dyDescent="0.3">
      <c r="A211" s="155">
        <v>15994</v>
      </c>
      <c r="B211" s="10" t="s">
        <v>3014</v>
      </c>
      <c r="C211" s="133" t="str">
        <f>"628669091940"</f>
        <v>628669091940</v>
      </c>
      <c r="D211" s="133" t="s">
        <v>25</v>
      </c>
      <c r="E211" s="10" t="s">
        <v>5</v>
      </c>
      <c r="F211" s="96">
        <v>44040</v>
      </c>
    </row>
    <row r="212" spans="1:6" s="39" customFormat="1" ht="27.95" hidden="1" x14ac:dyDescent="0.3">
      <c r="A212" s="161" t="str">
        <f>"0635300"</f>
        <v>0635300</v>
      </c>
      <c r="B212" s="144" t="s">
        <v>3012</v>
      </c>
      <c r="C212" s="159" t="str">
        <f>"752830950559"</f>
        <v>752830950559</v>
      </c>
      <c r="D212" s="159" t="s">
        <v>25</v>
      </c>
      <c r="E212" s="144" t="s">
        <v>3013</v>
      </c>
      <c r="F212" s="96">
        <v>44040</v>
      </c>
    </row>
    <row r="213" spans="1:6" hidden="1" x14ac:dyDescent="0.3">
      <c r="A213" s="155">
        <v>549840</v>
      </c>
      <c r="B213" s="10" t="s">
        <v>3010</v>
      </c>
      <c r="C213" s="133">
        <v>628451269045</v>
      </c>
      <c r="D213" s="133" t="s">
        <v>25</v>
      </c>
      <c r="E213" s="10" t="s">
        <v>5</v>
      </c>
      <c r="F213" s="96">
        <v>44040</v>
      </c>
    </row>
    <row r="214" spans="1:6" hidden="1" x14ac:dyDescent="0.3">
      <c r="A214" s="155">
        <v>556696</v>
      </c>
      <c r="B214" s="10" t="s">
        <v>3011</v>
      </c>
      <c r="C214" s="133">
        <v>628451269090</v>
      </c>
      <c r="D214" s="133" t="s">
        <v>25</v>
      </c>
      <c r="E214" s="10" t="s">
        <v>5</v>
      </c>
      <c r="F214" s="96">
        <v>44040</v>
      </c>
    </row>
    <row r="215" spans="1:6" hidden="1" x14ac:dyDescent="0.3">
      <c r="A215" s="155" t="str">
        <f>"0013650"</f>
        <v>0013650</v>
      </c>
      <c r="B215" s="10" t="s">
        <v>3009</v>
      </c>
      <c r="C215" s="133" t="str">
        <f>"812339000824"</f>
        <v>812339000824</v>
      </c>
      <c r="D215" s="133" t="s">
        <v>25</v>
      </c>
      <c r="E215" s="10" t="s">
        <v>5</v>
      </c>
      <c r="F215" s="96">
        <v>44040</v>
      </c>
    </row>
    <row r="216" spans="1:6" hidden="1" x14ac:dyDescent="0.3">
      <c r="A216" s="155" t="str">
        <f>"0568469"</f>
        <v>0568469</v>
      </c>
      <c r="B216" s="10" t="s">
        <v>3008</v>
      </c>
      <c r="C216" s="133" t="str">
        <f>"040232691232"</f>
        <v>040232691232</v>
      </c>
      <c r="D216" s="133" t="s">
        <v>25</v>
      </c>
      <c r="E216" s="10" t="s">
        <v>5</v>
      </c>
      <c r="F216" s="96">
        <v>44040</v>
      </c>
    </row>
    <row r="217" spans="1:6" hidden="1" x14ac:dyDescent="0.3">
      <c r="A217" s="155" t="str">
        <f>"0013701"</f>
        <v>0013701</v>
      </c>
      <c r="B217" s="10" t="s">
        <v>3006</v>
      </c>
      <c r="C217" s="133" t="str">
        <f>"627987105193"</f>
        <v>627987105193</v>
      </c>
      <c r="D217" s="133" t="s">
        <v>25</v>
      </c>
      <c r="E217" s="10" t="s">
        <v>3007</v>
      </c>
      <c r="F217" s="96">
        <v>44040</v>
      </c>
    </row>
    <row r="218" spans="1:6" hidden="1" x14ac:dyDescent="0.3">
      <c r="A218" s="155" t="str">
        <f>"0071126"</f>
        <v>0071126</v>
      </c>
      <c r="B218" s="10" t="s">
        <v>3004</v>
      </c>
      <c r="C218" s="133" t="str">
        <f>"072890000019"</f>
        <v>072890000019</v>
      </c>
      <c r="D218" s="133" t="s">
        <v>29</v>
      </c>
      <c r="E218" s="10" t="s">
        <v>3005</v>
      </c>
      <c r="F218" s="96">
        <v>44033</v>
      </c>
    </row>
    <row r="219" spans="1:6" hidden="1" x14ac:dyDescent="0.3">
      <c r="A219" s="155">
        <v>60715</v>
      </c>
      <c r="B219" s="10" t="s">
        <v>3002</v>
      </c>
      <c r="C219" s="133">
        <v>89819038428</v>
      </c>
      <c r="D219" s="133" t="s">
        <v>496</v>
      </c>
      <c r="E219" s="10" t="s">
        <v>3000</v>
      </c>
      <c r="F219" s="96" t="s">
        <v>860</v>
      </c>
    </row>
    <row r="220" spans="1:6" hidden="1" x14ac:dyDescent="0.3">
      <c r="A220" s="155">
        <v>278820</v>
      </c>
      <c r="B220" s="10" t="s">
        <v>3003</v>
      </c>
      <c r="C220" s="133">
        <v>89819760107</v>
      </c>
      <c r="D220" s="133" t="s">
        <v>496</v>
      </c>
      <c r="E220" s="10" t="s">
        <v>3000</v>
      </c>
      <c r="F220" s="96" t="s">
        <v>860</v>
      </c>
    </row>
    <row r="221" spans="1:6" hidden="1" x14ac:dyDescent="0.3">
      <c r="A221" s="155" t="str">
        <f>"0015904"</f>
        <v>0015904</v>
      </c>
      <c r="B221" s="10" t="s">
        <v>3001</v>
      </c>
      <c r="C221" s="133" t="str">
        <f>"186360050760"</f>
        <v>186360050760</v>
      </c>
      <c r="D221" s="133" t="s">
        <v>25</v>
      </c>
      <c r="E221" s="10" t="s">
        <v>5</v>
      </c>
      <c r="F221" s="96">
        <v>44033</v>
      </c>
    </row>
    <row r="222" spans="1:6" hidden="1" x14ac:dyDescent="0.3">
      <c r="A222" s="154">
        <v>612788</v>
      </c>
      <c r="B222" s="104" t="s">
        <v>2998</v>
      </c>
      <c r="C222" s="133">
        <v>8019873001016</v>
      </c>
      <c r="D222" s="133" t="s">
        <v>202</v>
      </c>
      <c r="E222" s="10" t="s">
        <v>3000</v>
      </c>
      <c r="F222" s="96" t="s">
        <v>860</v>
      </c>
    </row>
    <row r="223" spans="1:6" hidden="1" x14ac:dyDescent="0.3">
      <c r="A223" s="19">
        <v>442491</v>
      </c>
      <c r="B223" s="10" t="s">
        <v>2999</v>
      </c>
      <c r="C223" s="133">
        <v>8019873924155</v>
      </c>
      <c r="D223" s="133" t="s">
        <v>202</v>
      </c>
      <c r="E223" s="10" t="s">
        <v>3000</v>
      </c>
      <c r="F223" s="96" t="s">
        <v>860</v>
      </c>
    </row>
    <row r="224" spans="1:6" hidden="1" x14ac:dyDescent="0.3">
      <c r="A224" s="155">
        <v>107722</v>
      </c>
      <c r="B224" s="10" t="s">
        <v>2997</v>
      </c>
      <c r="C224" s="133">
        <v>402492006124</v>
      </c>
      <c r="D224" s="133" t="s">
        <v>202</v>
      </c>
      <c r="E224" s="10" t="s">
        <v>5</v>
      </c>
      <c r="F224" s="96" t="s">
        <v>860</v>
      </c>
    </row>
    <row r="225" spans="1:7" hidden="1" x14ac:dyDescent="0.3">
      <c r="A225" s="155">
        <v>483545</v>
      </c>
      <c r="B225" s="10" t="s">
        <v>2996</v>
      </c>
      <c r="C225" s="133">
        <v>626915015146</v>
      </c>
      <c r="D225" s="133" t="s">
        <v>202</v>
      </c>
      <c r="E225" s="10" t="s">
        <v>5</v>
      </c>
      <c r="F225" s="96" t="s">
        <v>860</v>
      </c>
    </row>
    <row r="226" spans="1:7" hidden="1" x14ac:dyDescent="0.3">
      <c r="A226" s="155" t="str">
        <f>"0010583"</f>
        <v>0010583</v>
      </c>
      <c r="B226" s="10" t="s">
        <v>2994</v>
      </c>
      <c r="C226" s="122" t="str">
        <f>"081288500161"</f>
        <v>081288500161</v>
      </c>
      <c r="D226" s="133" t="s">
        <v>555</v>
      </c>
      <c r="E226" s="144" t="s">
        <v>2995</v>
      </c>
      <c r="F226" s="96">
        <v>44026</v>
      </c>
    </row>
    <row r="227" spans="1:7" hidden="1" x14ac:dyDescent="0.3">
      <c r="A227" s="155" t="str">
        <f>"0012853"</f>
        <v>0012853</v>
      </c>
      <c r="B227" s="10" t="s">
        <v>2993</v>
      </c>
      <c r="C227" s="122" t="str">
        <f>"812339000817"</f>
        <v>812339000817</v>
      </c>
      <c r="D227" s="133" t="s">
        <v>25</v>
      </c>
      <c r="E227" s="10" t="s">
        <v>5</v>
      </c>
      <c r="F227" s="96">
        <v>44026</v>
      </c>
    </row>
    <row r="228" spans="1:7" hidden="1" x14ac:dyDescent="0.3">
      <c r="A228" s="155">
        <v>622019</v>
      </c>
      <c r="B228" s="10" t="s">
        <v>2992</v>
      </c>
      <c r="C228" s="122">
        <v>894509000278</v>
      </c>
      <c r="D228" s="133" t="s">
        <v>140</v>
      </c>
      <c r="E228" s="10" t="s">
        <v>5</v>
      </c>
      <c r="F228" s="96">
        <v>44019</v>
      </c>
    </row>
    <row r="229" spans="1:7" hidden="1" x14ac:dyDescent="0.3">
      <c r="A229" s="155">
        <v>336974</v>
      </c>
      <c r="B229" s="10" t="s">
        <v>2991</v>
      </c>
      <c r="C229" s="122">
        <v>82896700134</v>
      </c>
      <c r="D229" s="133" t="s">
        <v>202</v>
      </c>
      <c r="E229" s="10" t="s">
        <v>5</v>
      </c>
      <c r="F229" s="96">
        <v>44019</v>
      </c>
    </row>
    <row r="230" spans="1:7" hidden="1" x14ac:dyDescent="0.3">
      <c r="A230" s="155" t="str">
        <f>"0016499"</f>
        <v>0016499</v>
      </c>
      <c r="B230" s="10" t="s">
        <v>2990</v>
      </c>
      <c r="C230" s="122" t="str">
        <f>"812339000886"</f>
        <v>812339000886</v>
      </c>
      <c r="D230" s="133" t="s">
        <v>124</v>
      </c>
      <c r="E230" s="10" t="s">
        <v>5</v>
      </c>
      <c r="F230" s="96">
        <v>44019</v>
      </c>
    </row>
    <row r="231" spans="1:7" hidden="1" x14ac:dyDescent="0.3">
      <c r="A231" s="19">
        <v>391997</v>
      </c>
      <c r="B231" s="10" t="s">
        <v>2989</v>
      </c>
      <c r="C231" s="117">
        <v>5060190561465</v>
      </c>
      <c r="D231" s="133" t="s">
        <v>269</v>
      </c>
      <c r="E231" s="10" t="s">
        <v>5</v>
      </c>
      <c r="F231" s="96" t="s">
        <v>860</v>
      </c>
      <c r="G231" s="160"/>
    </row>
    <row r="232" spans="1:7" hidden="1" x14ac:dyDescent="0.3">
      <c r="A232" s="19" t="str">
        <f>"0368605"</f>
        <v>0368605</v>
      </c>
      <c r="B232" s="10" t="s">
        <v>2987</v>
      </c>
      <c r="C232" s="120" t="str">
        <f>"062067961120"</f>
        <v>062067961120</v>
      </c>
      <c r="D232" s="133" t="s">
        <v>2988</v>
      </c>
      <c r="E232" s="10" t="s">
        <v>5</v>
      </c>
      <c r="F232" s="96">
        <v>44019</v>
      </c>
      <c r="G232" s="160"/>
    </row>
    <row r="233" spans="1:7" hidden="1" x14ac:dyDescent="0.3">
      <c r="A233" s="155" t="str">
        <f>"0519082"</f>
        <v>0519082</v>
      </c>
      <c r="B233" s="10" t="s">
        <v>2985</v>
      </c>
      <c r="C233" s="122" t="str">
        <f>"832958000227"</f>
        <v>832958000227</v>
      </c>
      <c r="D233" s="133" t="s">
        <v>124</v>
      </c>
      <c r="E233" s="10" t="s">
        <v>2986</v>
      </c>
      <c r="F233" s="96">
        <v>44019</v>
      </c>
    </row>
    <row r="234" spans="1:7" hidden="1" x14ac:dyDescent="0.3">
      <c r="A234" s="155" t="str">
        <f>"0572735"</f>
        <v>0572735</v>
      </c>
      <c r="B234" s="10" t="s">
        <v>2984</v>
      </c>
      <c r="C234" s="122" t="str">
        <f>"855315003884"</f>
        <v>855315003884</v>
      </c>
      <c r="D234" s="133" t="s">
        <v>25</v>
      </c>
      <c r="E234" s="10" t="s">
        <v>5</v>
      </c>
      <c r="F234" s="96">
        <v>44019</v>
      </c>
    </row>
    <row r="235" spans="1:7" hidden="1" x14ac:dyDescent="0.3">
      <c r="A235" s="155" t="str">
        <f>"0012553"</f>
        <v>0012553</v>
      </c>
      <c r="B235" s="10" t="s">
        <v>2982</v>
      </c>
      <c r="C235" s="122" t="str">
        <f>"627843675464"</f>
        <v>627843675464</v>
      </c>
      <c r="D235" s="133" t="s">
        <v>48</v>
      </c>
      <c r="E235" s="10" t="s">
        <v>5</v>
      </c>
      <c r="F235" s="96">
        <v>44012</v>
      </c>
    </row>
    <row r="236" spans="1:7" hidden="1" x14ac:dyDescent="0.3">
      <c r="A236" s="155">
        <v>617563</v>
      </c>
      <c r="B236" s="10" t="s">
        <v>2981</v>
      </c>
      <c r="C236" s="122">
        <v>627843577478</v>
      </c>
      <c r="D236" s="133" t="s">
        <v>25</v>
      </c>
      <c r="E236" s="10" t="s">
        <v>5</v>
      </c>
      <c r="F236" s="96">
        <v>44012</v>
      </c>
    </row>
    <row r="237" spans="1:7" hidden="1" x14ac:dyDescent="0.3">
      <c r="A237" s="155" t="str">
        <f>"0570507"</f>
        <v>0570507</v>
      </c>
      <c r="B237" s="10" t="s">
        <v>2983</v>
      </c>
      <c r="C237" s="122" t="str">
        <f>"628055585015"</f>
        <v>628055585015</v>
      </c>
      <c r="D237" s="133" t="s">
        <v>25</v>
      </c>
      <c r="E237" s="10" t="s">
        <v>5</v>
      </c>
      <c r="F237" s="96" t="s">
        <v>860</v>
      </c>
    </row>
    <row r="238" spans="1:7" hidden="1" x14ac:dyDescent="0.3">
      <c r="A238" s="155" t="str">
        <f>"0013792"</f>
        <v>0013792</v>
      </c>
      <c r="B238" s="10" t="s">
        <v>2980</v>
      </c>
      <c r="C238" s="122" t="str">
        <f>"628055324126"</f>
        <v>628055324126</v>
      </c>
      <c r="D238" s="133" t="s">
        <v>37</v>
      </c>
      <c r="E238" s="10" t="s">
        <v>5</v>
      </c>
      <c r="F238" s="96" t="s">
        <v>860</v>
      </c>
    </row>
    <row r="239" spans="1:7" hidden="1" x14ac:dyDescent="0.3">
      <c r="A239" s="155" t="str">
        <f>"0012391"</f>
        <v>0012391</v>
      </c>
      <c r="B239" s="10" t="s">
        <v>2979</v>
      </c>
      <c r="C239" s="122" t="str">
        <f>"666960000063"</f>
        <v>666960000063</v>
      </c>
      <c r="D239" s="133" t="s">
        <v>25</v>
      </c>
      <c r="E239" s="10" t="s">
        <v>5</v>
      </c>
      <c r="F239" s="96" t="s">
        <v>860</v>
      </c>
    </row>
    <row r="240" spans="1:7" hidden="1" x14ac:dyDescent="0.3">
      <c r="A240" s="155" t="str">
        <f>"0628875"</f>
        <v>0628875</v>
      </c>
      <c r="B240" s="10" t="s">
        <v>2978</v>
      </c>
      <c r="C240" s="122" t="str">
        <f>"627843091158"</f>
        <v>627843091158</v>
      </c>
      <c r="D240" s="133" t="s">
        <v>25</v>
      </c>
      <c r="E240" s="10" t="s">
        <v>5</v>
      </c>
      <c r="F240" s="96" t="s">
        <v>860</v>
      </c>
    </row>
    <row r="241" spans="1:7" hidden="1" x14ac:dyDescent="0.3">
      <c r="A241" s="155" t="str">
        <f>"0012383"</f>
        <v>0012383</v>
      </c>
      <c r="B241" s="10" t="s">
        <v>2977</v>
      </c>
      <c r="C241" s="122" t="str">
        <f>"699057000332"</f>
        <v>699057000332</v>
      </c>
      <c r="D241" s="133" t="s">
        <v>1620</v>
      </c>
      <c r="E241" s="10" t="s">
        <v>5</v>
      </c>
      <c r="F241" s="96" t="s">
        <v>860</v>
      </c>
    </row>
    <row r="242" spans="1:7" hidden="1" x14ac:dyDescent="0.3">
      <c r="A242" s="155" t="str">
        <f>"0628925"</f>
        <v>0628925</v>
      </c>
      <c r="B242" s="10" t="s">
        <v>2976</v>
      </c>
      <c r="C242" s="122" t="str">
        <f>"882842000062"</f>
        <v>882842000062</v>
      </c>
      <c r="D242" s="133" t="s">
        <v>25</v>
      </c>
      <c r="E242" s="10" t="s">
        <v>5</v>
      </c>
      <c r="F242" s="96" t="s">
        <v>860</v>
      </c>
    </row>
    <row r="243" spans="1:7" ht="13.3" hidden="1" customHeight="1" x14ac:dyDescent="0.3">
      <c r="A243" s="155">
        <v>489088</v>
      </c>
      <c r="B243" s="10" t="s">
        <v>2974</v>
      </c>
      <c r="C243" s="122">
        <v>777081717171</v>
      </c>
      <c r="D243" s="133" t="s">
        <v>202</v>
      </c>
      <c r="E243" s="10" t="s">
        <v>5</v>
      </c>
      <c r="F243" s="96" t="s">
        <v>860</v>
      </c>
    </row>
    <row r="244" spans="1:7" ht="13.3" hidden="1" customHeight="1" x14ac:dyDescent="0.3">
      <c r="A244" s="155">
        <v>12448</v>
      </c>
      <c r="B244" s="10" t="s">
        <v>2972</v>
      </c>
      <c r="C244" s="122" t="str">
        <f>"056910401314"</f>
        <v>056910401314</v>
      </c>
      <c r="D244" s="133" t="s">
        <v>37</v>
      </c>
      <c r="E244" s="10" t="s">
        <v>2973</v>
      </c>
      <c r="F244" s="96" t="s">
        <v>860</v>
      </c>
    </row>
    <row r="245" spans="1:7" x14ac:dyDescent="0.3">
      <c r="A245" s="19">
        <v>27854</v>
      </c>
      <c r="B245" s="10" t="s">
        <v>2796</v>
      </c>
      <c r="C245" s="117">
        <v>8002062013303</v>
      </c>
      <c r="D245" s="133" t="s">
        <v>496</v>
      </c>
      <c r="E245" s="132" t="s">
        <v>2969</v>
      </c>
      <c r="F245" s="96">
        <v>44019</v>
      </c>
      <c r="G245" s="160"/>
    </row>
    <row r="246" spans="1:7" x14ac:dyDescent="0.3">
      <c r="A246" s="19">
        <v>564674</v>
      </c>
      <c r="B246" s="10" t="s">
        <v>2970</v>
      </c>
      <c r="C246" s="117">
        <v>8002062008132</v>
      </c>
      <c r="D246" s="133" t="s">
        <v>202</v>
      </c>
      <c r="E246" s="132" t="s">
        <v>2971</v>
      </c>
      <c r="F246" s="96">
        <v>44019</v>
      </c>
      <c r="G246" s="160"/>
    </row>
    <row r="247" spans="1:7" x14ac:dyDescent="0.3">
      <c r="A247" s="19">
        <v>533026</v>
      </c>
      <c r="B247" s="10" t="s">
        <v>2796</v>
      </c>
      <c r="C247" s="117">
        <v>8002062012825</v>
      </c>
      <c r="D247" s="133" t="s">
        <v>202</v>
      </c>
      <c r="E247" s="132" t="s">
        <v>2968</v>
      </c>
      <c r="F247" s="96">
        <v>44005</v>
      </c>
      <c r="G247" s="160"/>
    </row>
    <row r="248" spans="1:7" ht="41.95" hidden="1" x14ac:dyDescent="0.3">
      <c r="A248" s="19" t="str">
        <f>"0498840"</f>
        <v>0498840</v>
      </c>
      <c r="B248" s="10" t="s">
        <v>2966</v>
      </c>
      <c r="C248" s="120" t="str">
        <f>"040232284809"</f>
        <v>040232284809</v>
      </c>
      <c r="D248" s="133" t="s">
        <v>25</v>
      </c>
      <c r="E248" s="132" t="s">
        <v>2967</v>
      </c>
      <c r="F248" s="96">
        <v>44012</v>
      </c>
      <c r="G248" s="160"/>
    </row>
    <row r="249" spans="1:7" ht="13.3" hidden="1" customHeight="1" x14ac:dyDescent="0.3">
      <c r="A249" s="155" t="str">
        <f>"0013964"</f>
        <v>0013964</v>
      </c>
      <c r="B249" s="10" t="s">
        <v>2965</v>
      </c>
      <c r="C249" s="122" t="str">
        <f>"186360050586"</f>
        <v>186360050586</v>
      </c>
      <c r="D249" s="133" t="s">
        <v>25</v>
      </c>
      <c r="E249" s="10" t="s">
        <v>5</v>
      </c>
      <c r="F249" s="96" t="s">
        <v>860</v>
      </c>
    </row>
    <row r="250" spans="1:7" ht="27.95" hidden="1" x14ac:dyDescent="0.3">
      <c r="A250" s="19">
        <v>6395</v>
      </c>
      <c r="B250" s="10" t="s">
        <v>2963</v>
      </c>
      <c r="C250" s="120" t="s">
        <v>2943</v>
      </c>
      <c r="D250" s="133" t="s">
        <v>202</v>
      </c>
      <c r="E250" s="132" t="s">
        <v>2964</v>
      </c>
      <c r="F250" s="96" t="s">
        <v>860</v>
      </c>
      <c r="G250" s="160"/>
    </row>
    <row r="251" spans="1:7" ht="27.95" hidden="1" x14ac:dyDescent="0.3">
      <c r="A251" s="19">
        <v>89037</v>
      </c>
      <c r="B251" s="10" t="s">
        <v>2961</v>
      </c>
      <c r="C251" s="130">
        <v>670459009789</v>
      </c>
      <c r="D251" s="133" t="s">
        <v>202</v>
      </c>
      <c r="E251" s="132" t="s">
        <v>2962</v>
      </c>
      <c r="F251" s="96">
        <v>44005</v>
      </c>
      <c r="G251" s="160"/>
    </row>
    <row r="252" spans="1:7" ht="27.95" hidden="1" x14ac:dyDescent="0.3">
      <c r="A252" s="19">
        <v>401802</v>
      </c>
      <c r="B252" s="10" t="s">
        <v>2958</v>
      </c>
      <c r="C252" s="130">
        <v>628451675075</v>
      </c>
      <c r="D252" s="133" t="s">
        <v>202</v>
      </c>
      <c r="E252" s="132" t="s">
        <v>2957</v>
      </c>
      <c r="F252" s="96" t="s">
        <v>860</v>
      </c>
    </row>
    <row r="253" spans="1:7" hidden="1" x14ac:dyDescent="0.3">
      <c r="A253" s="19">
        <v>583518</v>
      </c>
      <c r="B253" s="10" t="s">
        <v>2959</v>
      </c>
      <c r="C253" s="130">
        <v>628451675358</v>
      </c>
      <c r="D253" s="133" t="s">
        <v>202</v>
      </c>
      <c r="E253" s="132" t="s">
        <v>2960</v>
      </c>
      <c r="F253" s="96" t="s">
        <v>860</v>
      </c>
    </row>
    <row r="254" spans="1:7" ht="27.95" hidden="1" x14ac:dyDescent="0.3">
      <c r="A254" s="19" t="str">
        <f>"0247486"</f>
        <v>0247486</v>
      </c>
      <c r="B254" s="10" t="s">
        <v>2955</v>
      </c>
      <c r="C254" s="130" t="str">
        <f>"4004866222237"</f>
        <v>4004866222237</v>
      </c>
      <c r="D254" s="133" t="s">
        <v>48</v>
      </c>
      <c r="E254" s="132" t="s">
        <v>2956</v>
      </c>
      <c r="F254" s="96">
        <v>44005</v>
      </c>
    </row>
    <row r="255" spans="1:7" ht="27.95" hidden="1" x14ac:dyDescent="0.3">
      <c r="A255" s="19" t="str">
        <f>"0247478"</f>
        <v>0247478</v>
      </c>
      <c r="B255" s="10" t="s">
        <v>2953</v>
      </c>
      <c r="C255" s="130" t="str">
        <f>"4004866222251"</f>
        <v>4004866222251</v>
      </c>
      <c r="D255" s="133" t="s">
        <v>48</v>
      </c>
      <c r="E255" s="132" t="s">
        <v>2954</v>
      </c>
      <c r="F255" s="96">
        <v>44005</v>
      </c>
    </row>
    <row r="256" spans="1:7" ht="27.95" hidden="1" x14ac:dyDescent="0.3">
      <c r="A256" s="19" t="str">
        <f>"0308403"</f>
        <v>0308403</v>
      </c>
      <c r="B256" s="10" t="s">
        <v>2951</v>
      </c>
      <c r="C256" s="130" t="str">
        <f>"4004866222329"</f>
        <v>4004866222329</v>
      </c>
      <c r="D256" s="133" t="s">
        <v>48</v>
      </c>
      <c r="E256" s="132" t="s">
        <v>2952</v>
      </c>
      <c r="F256" s="96">
        <v>44005</v>
      </c>
    </row>
    <row r="257" spans="1:6" ht="27.95" hidden="1" x14ac:dyDescent="0.3">
      <c r="A257" s="19" t="str">
        <f>"0337881"</f>
        <v>0337881</v>
      </c>
      <c r="B257" s="10" t="s">
        <v>2949</v>
      </c>
      <c r="C257" s="130" t="str">
        <f>"4066600060192"</f>
        <v>4066600060192</v>
      </c>
      <c r="D257" s="133" t="s">
        <v>48</v>
      </c>
      <c r="E257" s="132" t="s">
        <v>2950</v>
      </c>
      <c r="F257" s="96">
        <v>44005</v>
      </c>
    </row>
    <row r="258" spans="1:6" hidden="1" x14ac:dyDescent="0.3">
      <c r="A258" s="155" t="str">
        <f>"0648220"</f>
        <v>0648220</v>
      </c>
      <c r="B258" s="10" t="s">
        <v>2948</v>
      </c>
      <c r="C258" s="122" t="str">
        <f>"628028020079"</f>
        <v>628028020079</v>
      </c>
      <c r="D258" s="133" t="s">
        <v>25</v>
      </c>
      <c r="E258" s="10" t="s">
        <v>5</v>
      </c>
      <c r="F258" s="96">
        <v>44005</v>
      </c>
    </row>
    <row r="259" spans="1:6" hidden="1" x14ac:dyDescent="0.3">
      <c r="A259" s="155" t="str">
        <f>"0015737"</f>
        <v>0015737</v>
      </c>
      <c r="B259" s="10" t="s">
        <v>2946</v>
      </c>
      <c r="C259" s="122" t="str">
        <f>"628055324133"</f>
        <v>628055324133</v>
      </c>
      <c r="D259" s="133" t="s">
        <v>1620</v>
      </c>
      <c r="E259" s="10" t="s">
        <v>5</v>
      </c>
      <c r="F259" s="96">
        <v>44005</v>
      </c>
    </row>
    <row r="260" spans="1:6" hidden="1" x14ac:dyDescent="0.3">
      <c r="A260" s="155" t="str">
        <f>"0016134"</f>
        <v>0016134</v>
      </c>
      <c r="B260" s="10" t="s">
        <v>2947</v>
      </c>
      <c r="C260" s="122" t="str">
        <f>"699057000455"</f>
        <v>699057000455</v>
      </c>
      <c r="D260" s="133" t="s">
        <v>1620</v>
      </c>
      <c r="E260" s="10" t="s">
        <v>5</v>
      </c>
      <c r="F260" s="96">
        <v>44005</v>
      </c>
    </row>
    <row r="261" spans="1:6" hidden="1" x14ac:dyDescent="0.3">
      <c r="A261" s="155">
        <v>573626</v>
      </c>
      <c r="B261" s="10" t="s">
        <v>1517</v>
      </c>
      <c r="C261" s="122">
        <v>628669010095</v>
      </c>
      <c r="D261" s="133" t="s">
        <v>555</v>
      </c>
      <c r="E261" s="10" t="s">
        <v>5</v>
      </c>
      <c r="F261" s="96">
        <v>44005</v>
      </c>
    </row>
    <row r="262" spans="1:6" ht="27.95" hidden="1" x14ac:dyDescent="0.3">
      <c r="A262" s="155">
        <v>646315</v>
      </c>
      <c r="B262" s="10" t="s">
        <v>2945</v>
      </c>
      <c r="C262" s="122">
        <v>628669090912</v>
      </c>
      <c r="D262" s="133" t="s">
        <v>25</v>
      </c>
      <c r="E262" s="132" t="s">
        <v>2975</v>
      </c>
      <c r="F262" s="96">
        <v>44005</v>
      </c>
    </row>
    <row r="263" spans="1:6" hidden="1" x14ac:dyDescent="0.3">
      <c r="A263" s="155" t="str">
        <f>"0515437"</f>
        <v>0515437</v>
      </c>
      <c r="B263" s="10" t="s">
        <v>228</v>
      </c>
      <c r="C263" s="122" t="str">
        <f>"086428260332"</f>
        <v>086428260332</v>
      </c>
      <c r="D263" s="133" t="s">
        <v>29</v>
      </c>
      <c r="E263" s="10" t="s">
        <v>5</v>
      </c>
      <c r="F263" s="96">
        <v>44005</v>
      </c>
    </row>
    <row r="264" spans="1:6" s="35" customFormat="1" ht="27.95" hidden="1" x14ac:dyDescent="0.3">
      <c r="A264" s="50" t="s">
        <v>2941</v>
      </c>
      <c r="B264" s="10" t="s">
        <v>2942</v>
      </c>
      <c r="C264" s="120" t="s">
        <v>2943</v>
      </c>
      <c r="D264" s="133" t="s">
        <v>202</v>
      </c>
      <c r="E264" s="132" t="s">
        <v>2944</v>
      </c>
      <c r="F264" s="96">
        <v>43998</v>
      </c>
    </row>
    <row r="265" spans="1:6" ht="27.95" hidden="1" x14ac:dyDescent="0.3">
      <c r="A265" s="19" t="str">
        <f>"0010681"</f>
        <v>0010681</v>
      </c>
      <c r="B265" s="10" t="s">
        <v>2939</v>
      </c>
      <c r="C265" s="130" t="str">
        <f>"087600102020"</f>
        <v>087600102020</v>
      </c>
      <c r="D265" s="133" t="s">
        <v>29</v>
      </c>
      <c r="E265" s="132" t="s">
        <v>2940</v>
      </c>
      <c r="F265" s="96">
        <v>43998</v>
      </c>
    </row>
    <row r="266" spans="1:6" ht="27.95" hidden="1" x14ac:dyDescent="0.3">
      <c r="A266" s="19" t="str">
        <f>"0010087"</f>
        <v>0010087</v>
      </c>
      <c r="B266" s="10" t="s">
        <v>2937</v>
      </c>
      <c r="C266" s="130" t="str">
        <f>"072311320252"</f>
        <v>072311320252</v>
      </c>
      <c r="D266" s="133" t="s">
        <v>25</v>
      </c>
      <c r="E266" s="132" t="s">
        <v>2938</v>
      </c>
      <c r="F266" s="96">
        <v>43998</v>
      </c>
    </row>
    <row r="267" spans="1:6" hidden="1" x14ac:dyDescent="0.3">
      <c r="A267" s="155" t="str">
        <f>"0014310"</f>
        <v>0014310</v>
      </c>
      <c r="B267" s="10" t="s">
        <v>2935</v>
      </c>
      <c r="C267" s="122" t="str">
        <f>"870766000732"</f>
        <v>870766000732</v>
      </c>
      <c r="D267" s="133" t="s">
        <v>25</v>
      </c>
      <c r="E267" s="10" t="s">
        <v>5</v>
      </c>
      <c r="F267" s="96">
        <v>43998</v>
      </c>
    </row>
    <row r="268" spans="1:6" hidden="1" x14ac:dyDescent="0.3">
      <c r="A268" s="155" t="str">
        <f>"0553966"</f>
        <v>0553966</v>
      </c>
      <c r="B268" s="10" t="s">
        <v>2936</v>
      </c>
      <c r="C268" s="122" t="str">
        <f>"870766000565"</f>
        <v>870766000565</v>
      </c>
      <c r="D268" s="133" t="s">
        <v>25</v>
      </c>
      <c r="E268" s="10" t="s">
        <v>5</v>
      </c>
      <c r="F268" s="96">
        <v>43998</v>
      </c>
    </row>
    <row r="269" spans="1:6" hidden="1" x14ac:dyDescent="0.3">
      <c r="A269" s="155">
        <v>320325</v>
      </c>
      <c r="B269" s="10" t="s">
        <v>2933</v>
      </c>
      <c r="C269" s="122" t="str">
        <f>"779446200489"</f>
        <v>779446200489</v>
      </c>
      <c r="D269" s="133" t="s">
        <v>25</v>
      </c>
      <c r="E269" s="10" t="s">
        <v>5</v>
      </c>
      <c r="F269" s="96">
        <v>43998</v>
      </c>
    </row>
    <row r="270" spans="1:6" hidden="1" x14ac:dyDescent="0.3">
      <c r="A270" s="155">
        <v>666974</v>
      </c>
      <c r="B270" s="10" t="s">
        <v>2934</v>
      </c>
      <c r="C270" s="122" t="str">
        <f>"627005534011"</f>
        <v>627005534011</v>
      </c>
      <c r="D270" s="133" t="s">
        <v>25</v>
      </c>
      <c r="E270" s="10" t="s">
        <v>5</v>
      </c>
      <c r="F270" s="96">
        <v>43998</v>
      </c>
    </row>
    <row r="271" spans="1:6" hidden="1" x14ac:dyDescent="0.3">
      <c r="A271" s="155">
        <v>647099</v>
      </c>
      <c r="B271" s="10" t="s">
        <v>2932</v>
      </c>
      <c r="C271" s="122">
        <v>3176780037547</v>
      </c>
      <c r="D271" s="133" t="s">
        <v>202</v>
      </c>
      <c r="E271" s="10" t="s">
        <v>5</v>
      </c>
      <c r="F271" s="96" t="s">
        <v>860</v>
      </c>
    </row>
    <row r="272" spans="1:6" hidden="1" x14ac:dyDescent="0.3">
      <c r="A272" s="155">
        <v>12617</v>
      </c>
      <c r="B272" s="10" t="s">
        <v>2931</v>
      </c>
      <c r="C272" s="122">
        <v>874537001041</v>
      </c>
      <c r="D272" s="133" t="s">
        <v>202</v>
      </c>
      <c r="E272" s="10" t="s">
        <v>5</v>
      </c>
      <c r="F272" s="96" t="s">
        <v>860</v>
      </c>
    </row>
    <row r="273" spans="1:6" hidden="1" x14ac:dyDescent="0.3">
      <c r="A273" s="155" t="str">
        <f>"0010543"</f>
        <v>0010543</v>
      </c>
      <c r="B273" s="10" t="s">
        <v>2930</v>
      </c>
      <c r="C273" s="122" t="str">
        <f>"812339000770"</f>
        <v>812339000770</v>
      </c>
      <c r="D273" s="133" t="s">
        <v>25</v>
      </c>
      <c r="E273" s="10" t="s">
        <v>5</v>
      </c>
      <c r="F273" s="96">
        <v>43998</v>
      </c>
    </row>
    <row r="274" spans="1:6" hidden="1" x14ac:dyDescent="0.3">
      <c r="A274" s="155">
        <v>370296</v>
      </c>
      <c r="B274" s="10" t="s">
        <v>2928</v>
      </c>
      <c r="C274" s="122">
        <v>610098874607</v>
      </c>
      <c r="D274" s="133" t="s">
        <v>25</v>
      </c>
      <c r="E274" s="10" t="s">
        <v>5</v>
      </c>
      <c r="F274" s="96" t="s">
        <v>860</v>
      </c>
    </row>
    <row r="275" spans="1:6" hidden="1" x14ac:dyDescent="0.3">
      <c r="A275" s="155">
        <v>415083</v>
      </c>
      <c r="B275" s="10" t="s">
        <v>2929</v>
      </c>
      <c r="C275" s="122">
        <v>610098874621</v>
      </c>
      <c r="D275" s="133" t="s">
        <v>25</v>
      </c>
      <c r="E275" s="10" t="s">
        <v>5</v>
      </c>
      <c r="F275" s="96" t="s">
        <v>860</v>
      </c>
    </row>
    <row r="276" spans="1:6" hidden="1" x14ac:dyDescent="0.3">
      <c r="A276" s="19" t="str">
        <f>"0140103"</f>
        <v>0140103</v>
      </c>
      <c r="B276" s="10" t="s">
        <v>2927</v>
      </c>
      <c r="C276" s="122" t="str">
        <f>"627005037062"</f>
        <v>627005037062</v>
      </c>
      <c r="D276" s="133" t="s">
        <v>98</v>
      </c>
      <c r="E276" s="10" t="s">
        <v>5</v>
      </c>
      <c r="F276" s="96" t="s">
        <v>860</v>
      </c>
    </row>
    <row r="277" spans="1:6" ht="27.95" hidden="1" x14ac:dyDescent="0.3">
      <c r="A277" s="19">
        <v>172643</v>
      </c>
      <c r="B277" s="10" t="s">
        <v>2925</v>
      </c>
      <c r="C277" s="130">
        <v>670459008621</v>
      </c>
      <c r="D277" s="133" t="s">
        <v>202</v>
      </c>
      <c r="E277" s="132" t="s">
        <v>2926</v>
      </c>
      <c r="F277" s="96">
        <v>43984</v>
      </c>
    </row>
    <row r="278" spans="1:6" hidden="1" x14ac:dyDescent="0.3">
      <c r="A278" s="19" t="str">
        <f>"0466219"</f>
        <v>0466219</v>
      </c>
      <c r="B278" s="10" t="s">
        <v>2924</v>
      </c>
      <c r="C278" s="122" t="str">
        <f>"818662000234"</f>
        <v>818662000234</v>
      </c>
      <c r="D278" s="133" t="s">
        <v>25</v>
      </c>
      <c r="E278" s="10" t="s">
        <v>5</v>
      </c>
      <c r="F278" s="96">
        <v>43984</v>
      </c>
    </row>
    <row r="279" spans="1:6" hidden="1" x14ac:dyDescent="0.3">
      <c r="A279" s="19" t="str">
        <f>"0516492"</f>
        <v>0516492</v>
      </c>
      <c r="B279" s="10" t="s">
        <v>2923</v>
      </c>
      <c r="C279" s="122" t="str">
        <f>"627843695493"</f>
        <v>627843695493</v>
      </c>
      <c r="D279" s="133" t="s">
        <v>25</v>
      </c>
      <c r="E279" s="10" t="s">
        <v>5</v>
      </c>
      <c r="F279" s="96">
        <v>43984</v>
      </c>
    </row>
    <row r="280" spans="1:6" hidden="1" x14ac:dyDescent="0.3">
      <c r="A280" s="19">
        <v>367151</v>
      </c>
      <c r="B280" s="10" t="s">
        <v>2922</v>
      </c>
      <c r="C280" s="122">
        <v>855315000715</v>
      </c>
      <c r="D280" s="133" t="s">
        <v>60</v>
      </c>
      <c r="E280" s="10" t="s">
        <v>2853</v>
      </c>
      <c r="F280" s="96" t="s">
        <v>860</v>
      </c>
    </row>
    <row r="281" spans="1:6" s="39" customFormat="1" ht="27.95" hidden="1" x14ac:dyDescent="0.3">
      <c r="A281" s="157" t="str">
        <f>"0016282"</f>
        <v>0016282</v>
      </c>
      <c r="B281" s="144" t="s">
        <v>2920</v>
      </c>
      <c r="C281" s="158" t="str">
        <f>"727530566201"</f>
        <v>727530566201</v>
      </c>
      <c r="D281" s="159" t="s">
        <v>25</v>
      </c>
      <c r="E281" s="144" t="s">
        <v>2921</v>
      </c>
      <c r="F281" s="96" t="s">
        <v>860</v>
      </c>
    </row>
    <row r="282" spans="1:6" hidden="1" x14ac:dyDescent="0.3">
      <c r="A282" s="19" t="str">
        <f>"0012857"</f>
        <v>0012857</v>
      </c>
      <c r="B282" s="10" t="s">
        <v>2605</v>
      </c>
      <c r="C282" s="122" t="str">
        <f>"855315005437"</f>
        <v>855315005437</v>
      </c>
      <c r="D282" s="133" t="s">
        <v>98</v>
      </c>
      <c r="E282" s="10" t="s">
        <v>5</v>
      </c>
      <c r="F282" s="96">
        <v>43984</v>
      </c>
    </row>
    <row r="283" spans="1:6" hidden="1" x14ac:dyDescent="0.3">
      <c r="A283" s="19" t="str">
        <f>"0643130"</f>
        <v>0643130</v>
      </c>
      <c r="B283" s="10" t="s">
        <v>2919</v>
      </c>
      <c r="C283" s="122" t="str">
        <f>"040232298196"</f>
        <v>040232298196</v>
      </c>
      <c r="D283" s="133" t="s">
        <v>25</v>
      </c>
      <c r="E283" s="10" t="s">
        <v>5</v>
      </c>
      <c r="F283" s="96">
        <v>43984</v>
      </c>
    </row>
    <row r="284" spans="1:6" hidden="1" x14ac:dyDescent="0.3">
      <c r="A284" s="19" t="str">
        <f>"0643106"</f>
        <v>0643106</v>
      </c>
      <c r="B284" s="10" t="s">
        <v>2918</v>
      </c>
      <c r="C284" s="122" t="str">
        <f>"051497010201"</f>
        <v>051497010201</v>
      </c>
      <c r="D284" s="133" t="s">
        <v>25</v>
      </c>
      <c r="E284" s="10" t="s">
        <v>5</v>
      </c>
      <c r="F284" s="96">
        <v>43984</v>
      </c>
    </row>
    <row r="285" spans="1:6" hidden="1" x14ac:dyDescent="0.3">
      <c r="A285" s="19">
        <v>10366</v>
      </c>
      <c r="B285" s="10" t="s">
        <v>2910</v>
      </c>
      <c r="C285" s="122">
        <v>186360010139</v>
      </c>
      <c r="D285" s="133" t="s">
        <v>555</v>
      </c>
      <c r="E285" s="10" t="s">
        <v>5</v>
      </c>
      <c r="F285" s="96">
        <v>43977</v>
      </c>
    </row>
    <row r="286" spans="1:6" hidden="1" x14ac:dyDescent="0.3">
      <c r="A286" s="19">
        <v>12861</v>
      </c>
      <c r="B286" s="10" t="s">
        <v>2911</v>
      </c>
      <c r="C286" s="122">
        <v>186360050647</v>
      </c>
      <c r="D286" s="133" t="s">
        <v>25</v>
      </c>
      <c r="E286" s="10" t="s">
        <v>5</v>
      </c>
      <c r="F286" s="96">
        <v>43977</v>
      </c>
    </row>
    <row r="287" spans="1:6" hidden="1" x14ac:dyDescent="0.3">
      <c r="A287" s="19">
        <v>13636</v>
      </c>
      <c r="B287" s="10" t="s">
        <v>2912</v>
      </c>
      <c r="C287" s="122">
        <v>186360050579</v>
      </c>
      <c r="D287" s="133" t="s">
        <v>25</v>
      </c>
      <c r="E287" s="10" t="s">
        <v>5</v>
      </c>
      <c r="F287" s="96">
        <v>43977</v>
      </c>
    </row>
    <row r="288" spans="1:6" hidden="1" x14ac:dyDescent="0.3">
      <c r="A288" s="19">
        <v>13682</v>
      </c>
      <c r="B288" s="10" t="s">
        <v>2913</v>
      </c>
      <c r="C288" s="122">
        <v>186360050753</v>
      </c>
      <c r="D288" s="133" t="s">
        <v>25</v>
      </c>
      <c r="E288" s="10" t="s">
        <v>5</v>
      </c>
      <c r="F288" s="96">
        <v>43977</v>
      </c>
    </row>
    <row r="289" spans="1:6" hidden="1" x14ac:dyDescent="0.3">
      <c r="A289" s="19">
        <v>477380</v>
      </c>
      <c r="B289" s="10" t="s">
        <v>505</v>
      </c>
      <c r="C289" s="122">
        <v>186360050067</v>
      </c>
      <c r="D289" s="133" t="s">
        <v>25</v>
      </c>
      <c r="E289" s="10" t="s">
        <v>5</v>
      </c>
      <c r="F289" s="96">
        <v>43977</v>
      </c>
    </row>
    <row r="290" spans="1:6" ht="15.05" hidden="1" customHeight="1" x14ac:dyDescent="0.3">
      <c r="A290" s="19">
        <v>511030</v>
      </c>
      <c r="B290" s="10" t="s">
        <v>2889</v>
      </c>
      <c r="C290" s="122">
        <v>186360010047</v>
      </c>
      <c r="D290" s="133" t="s">
        <v>25</v>
      </c>
      <c r="E290" s="10" t="s">
        <v>5</v>
      </c>
      <c r="F290" s="96">
        <v>43977</v>
      </c>
    </row>
    <row r="291" spans="1:6" hidden="1" x14ac:dyDescent="0.3">
      <c r="A291" s="19">
        <v>519876</v>
      </c>
      <c r="B291" s="10" t="s">
        <v>2100</v>
      </c>
      <c r="C291" s="122">
        <v>186360050135</v>
      </c>
      <c r="D291" s="133" t="s">
        <v>25</v>
      </c>
      <c r="E291" s="10" t="s">
        <v>5</v>
      </c>
      <c r="F291" s="96">
        <v>43977</v>
      </c>
    </row>
    <row r="292" spans="1:6" hidden="1" x14ac:dyDescent="0.3">
      <c r="A292" s="19">
        <v>560250</v>
      </c>
      <c r="B292" s="10" t="s">
        <v>2914</v>
      </c>
      <c r="C292" s="122">
        <v>186360001014</v>
      </c>
      <c r="D292" s="133" t="s">
        <v>25</v>
      </c>
      <c r="E292" s="10" t="s">
        <v>5</v>
      </c>
      <c r="F292" s="96">
        <v>43977</v>
      </c>
    </row>
    <row r="293" spans="1:6" hidden="1" x14ac:dyDescent="0.3">
      <c r="A293" s="19">
        <v>629261</v>
      </c>
      <c r="B293" s="10" t="s">
        <v>2915</v>
      </c>
      <c r="C293" s="122">
        <v>186360001090</v>
      </c>
      <c r="D293" s="133" t="s">
        <v>48</v>
      </c>
      <c r="E293" s="10" t="s">
        <v>5</v>
      </c>
      <c r="F293" s="96">
        <v>43977</v>
      </c>
    </row>
    <row r="294" spans="1:6" hidden="1" x14ac:dyDescent="0.3">
      <c r="A294" s="19">
        <v>629279</v>
      </c>
      <c r="B294" s="10" t="s">
        <v>2916</v>
      </c>
      <c r="C294" s="122">
        <v>186360001106</v>
      </c>
      <c r="D294" s="133" t="s">
        <v>48</v>
      </c>
      <c r="E294" s="10" t="s">
        <v>5</v>
      </c>
      <c r="F294" s="96" t="s">
        <v>860</v>
      </c>
    </row>
    <row r="295" spans="1:6" hidden="1" x14ac:dyDescent="0.3">
      <c r="A295" s="19">
        <v>631903</v>
      </c>
      <c r="B295" s="10" t="s">
        <v>2917</v>
      </c>
      <c r="C295" s="122">
        <v>186360050258</v>
      </c>
      <c r="D295" s="133" t="s">
        <v>25</v>
      </c>
      <c r="E295" s="10" t="s">
        <v>5</v>
      </c>
      <c r="F295" s="96" t="s">
        <v>860</v>
      </c>
    </row>
    <row r="296" spans="1:6" hidden="1" x14ac:dyDescent="0.3">
      <c r="A296" s="19" t="str">
        <f>"0547018"</f>
        <v>0547018</v>
      </c>
      <c r="B296" s="10" t="s">
        <v>2909</v>
      </c>
      <c r="C296" s="122" t="str">
        <f>"856217001244"</f>
        <v>856217001244</v>
      </c>
      <c r="D296" s="133" t="s">
        <v>98</v>
      </c>
      <c r="E296" s="10" t="s">
        <v>5</v>
      </c>
      <c r="F296" s="96">
        <v>43977</v>
      </c>
    </row>
    <row r="297" spans="1:6" hidden="1" x14ac:dyDescent="0.3">
      <c r="A297" s="19" t="str">
        <f>"0010106"</f>
        <v>0010106</v>
      </c>
      <c r="B297" s="10" t="s">
        <v>2908</v>
      </c>
      <c r="C297" s="122" t="str">
        <f>"856217000346"</f>
        <v>856217000346</v>
      </c>
      <c r="D297" s="133" t="s">
        <v>124</v>
      </c>
      <c r="E297" s="10" t="s">
        <v>5</v>
      </c>
      <c r="F297" s="96" t="s">
        <v>860</v>
      </c>
    </row>
    <row r="298" spans="1:6" hidden="1" x14ac:dyDescent="0.3">
      <c r="A298" s="19" t="str">
        <f>"0484972"</f>
        <v>0484972</v>
      </c>
      <c r="B298" s="10" t="s">
        <v>699</v>
      </c>
      <c r="C298" s="122" t="str">
        <f>"628669012020"</f>
        <v>628669012020</v>
      </c>
      <c r="D298" s="133" t="s">
        <v>25</v>
      </c>
      <c r="E298" s="10" t="s">
        <v>5</v>
      </c>
      <c r="F298" s="96">
        <v>43977</v>
      </c>
    </row>
    <row r="299" spans="1:6" hidden="1" x14ac:dyDescent="0.3">
      <c r="A299" s="19">
        <v>79426</v>
      </c>
      <c r="B299" s="10" t="s">
        <v>2907</v>
      </c>
      <c r="C299" s="122">
        <v>777081520641</v>
      </c>
      <c r="D299" s="133" t="s">
        <v>496</v>
      </c>
      <c r="E299" s="10" t="s">
        <v>5</v>
      </c>
      <c r="F299" s="96">
        <v>43977</v>
      </c>
    </row>
    <row r="300" spans="1:6" hidden="1" x14ac:dyDescent="0.3">
      <c r="A300" s="19" t="str">
        <f>"0015476"</f>
        <v>0015476</v>
      </c>
      <c r="B300" s="10" t="s">
        <v>2906</v>
      </c>
      <c r="C300" s="122" t="str">
        <f>"056327015487"</f>
        <v>056327015487</v>
      </c>
      <c r="D300" s="133" t="s">
        <v>25</v>
      </c>
      <c r="E300" s="10" t="s">
        <v>2785</v>
      </c>
      <c r="F300" s="96" t="s">
        <v>860</v>
      </c>
    </row>
    <row r="301" spans="1:6" hidden="1" x14ac:dyDescent="0.3">
      <c r="A301" s="19" t="str">
        <f>"0508515"</f>
        <v>0508515</v>
      </c>
      <c r="B301" s="10" t="s">
        <v>2905</v>
      </c>
      <c r="C301" s="122" t="str">
        <f>"628055459880"</f>
        <v>628055459880</v>
      </c>
      <c r="D301" s="133" t="s">
        <v>25</v>
      </c>
      <c r="E301" s="10" t="s">
        <v>5</v>
      </c>
      <c r="F301" s="96">
        <v>43977</v>
      </c>
    </row>
    <row r="302" spans="1:6" hidden="1" x14ac:dyDescent="0.3">
      <c r="A302" s="19" t="str">
        <f>"0508796"</f>
        <v>0508796</v>
      </c>
      <c r="B302" s="10" t="s">
        <v>2903</v>
      </c>
      <c r="C302" s="122" t="str">
        <f>"627843546900"</f>
        <v>627843546900</v>
      </c>
      <c r="D302" s="133" t="s">
        <v>25</v>
      </c>
      <c r="E302" s="10" t="s">
        <v>5</v>
      </c>
      <c r="F302" s="96">
        <v>43971</v>
      </c>
    </row>
    <row r="303" spans="1:6" hidden="1" x14ac:dyDescent="0.3">
      <c r="A303" s="19" t="s">
        <v>2894</v>
      </c>
      <c r="B303" s="10" t="s">
        <v>2895</v>
      </c>
      <c r="C303" s="122" t="s">
        <v>2896</v>
      </c>
      <c r="D303" s="133" t="s">
        <v>25</v>
      </c>
      <c r="E303" s="10" t="s">
        <v>5</v>
      </c>
      <c r="F303" s="96">
        <v>43971</v>
      </c>
    </row>
    <row r="304" spans="1:6" hidden="1" x14ac:dyDescent="0.3">
      <c r="A304" s="19" t="s">
        <v>2897</v>
      </c>
      <c r="B304" s="10" t="s">
        <v>2898</v>
      </c>
      <c r="C304" s="122" t="s">
        <v>2899</v>
      </c>
      <c r="D304" s="133" t="s">
        <v>25</v>
      </c>
      <c r="E304" s="10" t="s">
        <v>5</v>
      </c>
      <c r="F304" s="96">
        <v>43971</v>
      </c>
    </row>
    <row r="305" spans="1:6" hidden="1" x14ac:dyDescent="0.3">
      <c r="A305" s="19" t="s">
        <v>2900</v>
      </c>
      <c r="B305" s="10" t="s">
        <v>2901</v>
      </c>
      <c r="C305" s="122" t="s">
        <v>2902</v>
      </c>
      <c r="D305" s="133" t="s">
        <v>25</v>
      </c>
      <c r="E305" s="10" t="s">
        <v>5</v>
      </c>
      <c r="F305" s="96">
        <v>43971</v>
      </c>
    </row>
    <row r="306" spans="1:6" hidden="1" x14ac:dyDescent="0.3">
      <c r="A306" s="19" t="str">
        <f>"0391862"</f>
        <v>0391862</v>
      </c>
      <c r="B306" s="10" t="s">
        <v>1664</v>
      </c>
      <c r="C306" s="122" t="str">
        <f>"779305101728"</f>
        <v>779305101728</v>
      </c>
      <c r="D306" s="133" t="s">
        <v>25</v>
      </c>
      <c r="E306" s="10" t="s">
        <v>5</v>
      </c>
      <c r="F306" s="96">
        <v>43971</v>
      </c>
    </row>
    <row r="307" spans="1:6" ht="27.95" hidden="1" x14ac:dyDescent="0.3">
      <c r="A307" s="19">
        <v>12617</v>
      </c>
      <c r="B307" s="10" t="s">
        <v>2893</v>
      </c>
      <c r="C307" s="122">
        <v>874537107132</v>
      </c>
      <c r="D307" s="19" t="s">
        <v>202</v>
      </c>
      <c r="E307" s="132" t="s">
        <v>2904</v>
      </c>
      <c r="F307" s="96">
        <v>43971</v>
      </c>
    </row>
    <row r="308" spans="1:6" ht="28.35" hidden="1" customHeight="1" x14ac:dyDescent="0.3">
      <c r="A308" s="19">
        <v>471839</v>
      </c>
      <c r="B308" s="10" t="s">
        <v>2891</v>
      </c>
      <c r="C308" s="122">
        <v>874537151128</v>
      </c>
      <c r="D308" s="19" t="s">
        <v>759</v>
      </c>
      <c r="E308" s="132" t="s">
        <v>2892</v>
      </c>
      <c r="F308" s="96" t="s">
        <v>860</v>
      </c>
    </row>
    <row r="309" spans="1:6" hidden="1" x14ac:dyDescent="0.3">
      <c r="A309" s="19" t="str">
        <f>"0491597"</f>
        <v>0491597</v>
      </c>
      <c r="B309" s="10" t="s">
        <v>2890</v>
      </c>
      <c r="C309" s="122" t="str">
        <f>"882842000055"</f>
        <v>882842000055</v>
      </c>
      <c r="D309" s="156" t="s">
        <v>25</v>
      </c>
      <c r="E309" s="64" t="s">
        <v>5</v>
      </c>
      <c r="F309" s="96" t="s">
        <v>860</v>
      </c>
    </row>
    <row r="310" spans="1:6" hidden="1" x14ac:dyDescent="0.3">
      <c r="A310" s="19" t="str">
        <f>"0511030"</f>
        <v>0511030</v>
      </c>
      <c r="B310" s="10" t="s">
        <v>2889</v>
      </c>
      <c r="C310" s="122" t="str">
        <f>"186360010047"</f>
        <v>186360010047</v>
      </c>
      <c r="D310" s="133" t="s">
        <v>25</v>
      </c>
      <c r="E310" s="10" t="s">
        <v>5</v>
      </c>
      <c r="F310" s="96">
        <v>43971</v>
      </c>
    </row>
    <row r="311" spans="1:6" hidden="1" x14ac:dyDescent="0.3">
      <c r="A311" s="19" t="str">
        <f>"0365601"</f>
        <v>0365601</v>
      </c>
      <c r="B311" s="10" t="s">
        <v>458</v>
      </c>
      <c r="C311" s="122" t="str">
        <f>"087692004066"</f>
        <v>087692004066</v>
      </c>
      <c r="D311" s="133" t="s">
        <v>25</v>
      </c>
      <c r="E311" s="10" t="s">
        <v>2888</v>
      </c>
      <c r="F311" s="96">
        <v>43963</v>
      </c>
    </row>
    <row r="312" spans="1:6" hidden="1" x14ac:dyDescent="0.3">
      <c r="A312" s="19" t="str">
        <f>"0012738"</f>
        <v>0012738</v>
      </c>
      <c r="B312" s="10" t="s">
        <v>2887</v>
      </c>
      <c r="C312" s="122" t="str">
        <f>"056327014268"</f>
        <v>056327014268</v>
      </c>
      <c r="D312" s="133" t="s">
        <v>25</v>
      </c>
      <c r="E312" s="10" t="s">
        <v>5</v>
      </c>
      <c r="F312" s="96">
        <v>43963</v>
      </c>
    </row>
    <row r="313" spans="1:6" hidden="1" x14ac:dyDescent="0.3">
      <c r="A313" s="19" t="str">
        <f>"0546887"</f>
        <v>0546887</v>
      </c>
      <c r="B313" s="10" t="s">
        <v>2883</v>
      </c>
      <c r="C313" s="122" t="str">
        <f>"040232581342"</f>
        <v>040232581342</v>
      </c>
      <c r="D313" s="133" t="s">
        <v>25</v>
      </c>
      <c r="E313" s="10" t="s">
        <v>5</v>
      </c>
      <c r="F313" s="96">
        <v>43963</v>
      </c>
    </row>
    <row r="314" spans="1:6" hidden="1" x14ac:dyDescent="0.3">
      <c r="A314" s="155">
        <v>11830</v>
      </c>
      <c r="B314" s="10" t="s">
        <v>2884</v>
      </c>
      <c r="C314" s="122">
        <v>628669091629</v>
      </c>
      <c r="D314" s="133" t="s">
        <v>98</v>
      </c>
      <c r="E314" s="10" t="s">
        <v>5</v>
      </c>
      <c r="F314" s="96">
        <v>43963</v>
      </c>
    </row>
    <row r="315" spans="1:6" hidden="1" x14ac:dyDescent="0.3">
      <c r="A315" s="155">
        <v>573600</v>
      </c>
      <c r="B315" s="10" t="s">
        <v>2885</v>
      </c>
      <c r="C315" s="122">
        <v>628669010088</v>
      </c>
      <c r="D315" s="133" t="s">
        <v>555</v>
      </c>
      <c r="E315" s="10" t="s">
        <v>5</v>
      </c>
      <c r="F315" s="96">
        <v>43963</v>
      </c>
    </row>
    <row r="316" spans="1:6" hidden="1" x14ac:dyDescent="0.3">
      <c r="A316" s="155">
        <v>573618</v>
      </c>
      <c r="B316" s="10" t="s">
        <v>2886</v>
      </c>
      <c r="C316" s="122">
        <v>628669010408</v>
      </c>
      <c r="D316" s="133" t="s">
        <v>555</v>
      </c>
      <c r="E316" s="10" t="s">
        <v>5</v>
      </c>
      <c r="F316" s="96">
        <v>43963</v>
      </c>
    </row>
    <row r="317" spans="1:6" hidden="1" x14ac:dyDescent="0.3">
      <c r="A317" s="19">
        <v>414508</v>
      </c>
      <c r="B317" s="10" t="s">
        <v>2882</v>
      </c>
      <c r="C317" s="122">
        <v>777081726517</v>
      </c>
      <c r="D317" s="133" t="s">
        <v>202</v>
      </c>
      <c r="E317" s="10" t="s">
        <v>5</v>
      </c>
      <c r="F317" s="96">
        <v>43956</v>
      </c>
    </row>
    <row r="318" spans="1:6" hidden="1" x14ac:dyDescent="0.3">
      <c r="A318" s="19" t="str">
        <f>"0012579"</f>
        <v>0012579</v>
      </c>
      <c r="B318" s="10" t="s">
        <v>2881</v>
      </c>
      <c r="C318" s="122" t="str">
        <f>"040232398582"</f>
        <v>040232398582</v>
      </c>
      <c r="D318" s="19" t="s">
        <v>25</v>
      </c>
      <c r="E318" s="64" t="s">
        <v>5</v>
      </c>
      <c r="F318" s="96">
        <v>43956</v>
      </c>
    </row>
    <row r="319" spans="1:6" ht="27.95" hidden="1" x14ac:dyDescent="0.3">
      <c r="A319" s="19">
        <v>481556</v>
      </c>
      <c r="B319" s="10" t="s">
        <v>2879</v>
      </c>
      <c r="C319" s="122">
        <v>874537081142</v>
      </c>
      <c r="D319" s="19" t="s">
        <v>202</v>
      </c>
      <c r="E319" s="132" t="s">
        <v>2880</v>
      </c>
      <c r="F319" s="96">
        <v>43955</v>
      </c>
    </row>
    <row r="320" spans="1:6" hidden="1" x14ac:dyDescent="0.3">
      <c r="A320" s="19">
        <v>75689</v>
      </c>
      <c r="B320" s="10" t="s">
        <v>2878</v>
      </c>
      <c r="C320" s="122">
        <v>627167099069</v>
      </c>
      <c r="D320" s="19" t="s">
        <v>202</v>
      </c>
      <c r="E320" t="s">
        <v>2877</v>
      </c>
      <c r="F320" s="96" t="s">
        <v>860</v>
      </c>
    </row>
    <row r="321" spans="1:6" ht="27.95" hidden="1" x14ac:dyDescent="0.3">
      <c r="A321" s="19">
        <v>160143</v>
      </c>
      <c r="B321" s="153" t="s">
        <v>2876</v>
      </c>
      <c r="C321" s="122">
        <v>837042001364</v>
      </c>
      <c r="D321" s="133" t="s">
        <v>202</v>
      </c>
      <c r="E321" s="132" t="s">
        <v>2875</v>
      </c>
      <c r="F321" s="96">
        <v>43963</v>
      </c>
    </row>
    <row r="322" spans="1:6" ht="14.1" hidden="1" customHeight="1" x14ac:dyDescent="0.3">
      <c r="A322" s="19" t="str">
        <f>"0374744"</f>
        <v>0374744</v>
      </c>
      <c r="B322" s="153" t="s">
        <v>2874</v>
      </c>
      <c r="C322" s="19" t="str">
        <f>"4053400284330"</f>
        <v>4053400284330</v>
      </c>
      <c r="D322" s="154" t="s">
        <v>29</v>
      </c>
      <c r="E322" s="132" t="s">
        <v>5</v>
      </c>
      <c r="F322" s="96">
        <v>43948</v>
      </c>
    </row>
    <row r="323" spans="1:6" hidden="1" x14ac:dyDescent="0.3">
      <c r="A323" s="19" t="str">
        <f>"0011622"</f>
        <v>0011622</v>
      </c>
      <c r="B323" s="153" t="s">
        <v>2872</v>
      </c>
      <c r="C323" s="19" t="str">
        <f>"5060241041113"</f>
        <v>5060241041113</v>
      </c>
      <c r="D323" s="154" t="s">
        <v>48</v>
      </c>
      <c r="E323" s="132" t="s">
        <v>2873</v>
      </c>
      <c r="F323" s="96">
        <v>43948</v>
      </c>
    </row>
    <row r="324" spans="1:6" hidden="1" x14ac:dyDescent="0.3">
      <c r="A324" s="19">
        <v>648402</v>
      </c>
      <c r="B324" s="153" t="s">
        <v>2871</v>
      </c>
      <c r="C324" s="19">
        <v>63657039502</v>
      </c>
      <c r="D324" s="154" t="s">
        <v>202</v>
      </c>
      <c r="E324" s="132" t="s">
        <v>2870</v>
      </c>
      <c r="F324" s="96">
        <v>43942</v>
      </c>
    </row>
    <row r="325" spans="1:6" hidden="1" x14ac:dyDescent="0.3">
      <c r="A325" s="19" t="str">
        <f>"0472647"</f>
        <v>0472647</v>
      </c>
      <c r="B325" s="153" t="s">
        <v>323</v>
      </c>
      <c r="C325" s="19" t="str">
        <f>"186360000482"</f>
        <v>186360000482</v>
      </c>
      <c r="D325" s="154" t="s">
        <v>25</v>
      </c>
      <c r="E325" s="10" t="s">
        <v>5</v>
      </c>
      <c r="F325" s="150">
        <v>43942</v>
      </c>
    </row>
    <row r="326" spans="1:6" hidden="1" x14ac:dyDescent="0.3">
      <c r="A326" s="19" t="str">
        <f>"0472639"</f>
        <v>0472639</v>
      </c>
      <c r="B326" s="153" t="s">
        <v>2869</v>
      </c>
      <c r="C326" s="19" t="str">
        <f>"186360000048"</f>
        <v>186360000048</v>
      </c>
      <c r="D326" s="154" t="s">
        <v>25</v>
      </c>
      <c r="E326" s="10" t="s">
        <v>5</v>
      </c>
      <c r="F326" s="150">
        <v>43942</v>
      </c>
    </row>
    <row r="327" spans="1:6" s="142" customFormat="1" ht="27.95" hidden="1" x14ac:dyDescent="0.3">
      <c r="A327" s="140">
        <v>284570</v>
      </c>
      <c r="B327" s="10" t="s">
        <v>2867</v>
      </c>
      <c r="C327" s="151">
        <v>670459008898</v>
      </c>
      <c r="D327" s="133" t="s">
        <v>202</v>
      </c>
      <c r="E327" s="132" t="s">
        <v>2868</v>
      </c>
      <c r="F327" s="96">
        <v>43928</v>
      </c>
    </row>
    <row r="328" spans="1:6" hidden="1" x14ac:dyDescent="0.3">
      <c r="A328" s="19" t="str">
        <f>"0573774"</f>
        <v>0573774</v>
      </c>
      <c r="B328" s="153" t="s">
        <v>1518</v>
      </c>
      <c r="C328" s="4" t="str">
        <f>"628669010415"</f>
        <v>628669010415</v>
      </c>
      <c r="D328" s="154" t="s">
        <v>555</v>
      </c>
      <c r="E328" s="149" t="s">
        <v>5</v>
      </c>
      <c r="F328" s="150">
        <v>43942</v>
      </c>
    </row>
    <row r="329" spans="1:6" s="35" customFormat="1" hidden="1" x14ac:dyDescent="0.3">
      <c r="A329" s="110">
        <v>635862</v>
      </c>
      <c r="B329" s="119" t="s">
        <v>2866</v>
      </c>
      <c r="C329" s="152" t="str">
        <f>"824824171414"</f>
        <v>824824171414</v>
      </c>
      <c r="D329" s="100" t="s">
        <v>1620</v>
      </c>
      <c r="E329" s="10" t="s">
        <v>5</v>
      </c>
      <c r="F329" s="96" t="s">
        <v>860</v>
      </c>
    </row>
    <row r="330" spans="1:6" s="35" customFormat="1" hidden="1" x14ac:dyDescent="0.3">
      <c r="A330" s="110">
        <v>467019</v>
      </c>
      <c r="B330" s="119" t="s">
        <v>188</v>
      </c>
      <c r="C330" s="117" t="str">
        <f>"625640135532"</f>
        <v>625640135532</v>
      </c>
      <c r="D330" s="100" t="s">
        <v>25</v>
      </c>
      <c r="E330" s="10" t="s">
        <v>2865</v>
      </c>
      <c r="F330" s="96" t="s">
        <v>860</v>
      </c>
    </row>
    <row r="331" spans="1:6" s="35" customFormat="1" hidden="1" x14ac:dyDescent="0.3">
      <c r="A331" s="110">
        <v>10944</v>
      </c>
      <c r="B331" s="119" t="s">
        <v>2859</v>
      </c>
      <c r="C331" s="117">
        <v>855315004928</v>
      </c>
      <c r="D331" s="100" t="s">
        <v>25</v>
      </c>
      <c r="E331" s="10" t="s">
        <v>5</v>
      </c>
      <c r="F331" s="96">
        <v>43942</v>
      </c>
    </row>
    <row r="332" spans="1:6" s="35" customFormat="1" hidden="1" x14ac:dyDescent="0.3">
      <c r="A332" s="110">
        <v>11852</v>
      </c>
      <c r="B332" s="119" t="s">
        <v>2860</v>
      </c>
      <c r="C332" s="117">
        <v>855315004904</v>
      </c>
      <c r="D332" s="100" t="s">
        <v>25</v>
      </c>
      <c r="E332" s="10" t="s">
        <v>5</v>
      </c>
      <c r="F332" s="96">
        <v>43942</v>
      </c>
    </row>
    <row r="333" spans="1:6" s="35" customFormat="1" hidden="1" x14ac:dyDescent="0.3">
      <c r="A333" s="110">
        <v>27623</v>
      </c>
      <c r="B333" s="119" t="s">
        <v>2861</v>
      </c>
      <c r="C333" s="117">
        <v>855315000067</v>
      </c>
      <c r="D333" s="100" t="s">
        <v>106</v>
      </c>
      <c r="E333" s="10" t="s">
        <v>5</v>
      </c>
      <c r="F333" s="96">
        <v>43942</v>
      </c>
    </row>
    <row r="334" spans="1:6" s="35" customFormat="1" hidden="1" x14ac:dyDescent="0.3">
      <c r="A334" s="110">
        <v>31146</v>
      </c>
      <c r="B334" s="119" t="s">
        <v>2862</v>
      </c>
      <c r="C334" s="117">
        <v>855315000081</v>
      </c>
      <c r="D334" s="100" t="s">
        <v>106</v>
      </c>
      <c r="E334" s="10" t="s">
        <v>5</v>
      </c>
      <c r="F334" s="96">
        <v>43942</v>
      </c>
    </row>
    <row r="335" spans="1:6" s="35" customFormat="1" hidden="1" x14ac:dyDescent="0.3">
      <c r="A335" s="110">
        <v>53710</v>
      </c>
      <c r="B335" s="119" t="s">
        <v>2863</v>
      </c>
      <c r="C335" s="117">
        <v>855315000098</v>
      </c>
      <c r="D335" s="100" t="s">
        <v>106</v>
      </c>
      <c r="E335" s="10" t="s">
        <v>5</v>
      </c>
      <c r="F335" s="96">
        <v>43942</v>
      </c>
    </row>
    <row r="336" spans="1:6" s="35" customFormat="1" hidden="1" x14ac:dyDescent="0.3">
      <c r="A336" s="33">
        <f>577643</f>
        <v>577643</v>
      </c>
      <c r="B336" s="119" t="s">
        <v>2864</v>
      </c>
      <c r="C336" s="117" t="str">
        <f>"627843374084"</f>
        <v>627843374084</v>
      </c>
      <c r="D336" s="100" t="s">
        <v>98</v>
      </c>
      <c r="E336" s="10" t="s">
        <v>5</v>
      </c>
      <c r="F336" s="96">
        <v>43942</v>
      </c>
    </row>
    <row r="337" spans="1:6" s="35" customFormat="1" hidden="1" x14ac:dyDescent="0.3">
      <c r="A337" s="33">
        <v>466672</v>
      </c>
      <c r="B337" s="119" t="s">
        <v>2855</v>
      </c>
      <c r="C337" s="117">
        <v>855315001484</v>
      </c>
      <c r="D337" s="100" t="s">
        <v>106</v>
      </c>
      <c r="E337" s="10" t="s">
        <v>5</v>
      </c>
      <c r="F337" s="96" t="s">
        <v>860</v>
      </c>
    </row>
    <row r="338" spans="1:6" s="35" customFormat="1" hidden="1" x14ac:dyDescent="0.3">
      <c r="A338" s="33">
        <v>498147</v>
      </c>
      <c r="B338" s="119" t="s">
        <v>728</v>
      </c>
      <c r="C338" s="117">
        <v>627843374022</v>
      </c>
      <c r="D338" s="100" t="s">
        <v>98</v>
      </c>
      <c r="E338" s="10" t="s">
        <v>5</v>
      </c>
      <c r="F338" s="96" t="s">
        <v>860</v>
      </c>
    </row>
    <row r="339" spans="1:6" s="35" customFormat="1" hidden="1" x14ac:dyDescent="0.3">
      <c r="A339" s="33">
        <v>498154</v>
      </c>
      <c r="B339" s="119" t="s">
        <v>731</v>
      </c>
      <c r="C339" s="117">
        <v>627843374015</v>
      </c>
      <c r="D339" s="100" t="s">
        <v>202</v>
      </c>
      <c r="E339" s="10" t="s">
        <v>5</v>
      </c>
      <c r="F339" s="96" t="s">
        <v>860</v>
      </c>
    </row>
    <row r="340" spans="1:6" s="35" customFormat="1" hidden="1" x14ac:dyDescent="0.3">
      <c r="A340" s="33">
        <v>517854</v>
      </c>
      <c r="B340" s="119" t="s">
        <v>2856</v>
      </c>
      <c r="C340" s="117">
        <v>855315002399</v>
      </c>
      <c r="D340" s="100" t="s">
        <v>2857</v>
      </c>
      <c r="E340" s="10" t="s">
        <v>5</v>
      </c>
      <c r="F340" s="96" t="s">
        <v>860</v>
      </c>
    </row>
    <row r="341" spans="1:6" s="35" customFormat="1" hidden="1" x14ac:dyDescent="0.3">
      <c r="A341" s="33">
        <v>522284</v>
      </c>
      <c r="B341" s="119" t="s">
        <v>2858</v>
      </c>
      <c r="C341" s="117">
        <v>855315002382</v>
      </c>
      <c r="D341" s="100" t="s">
        <v>202</v>
      </c>
      <c r="E341" s="10" t="s">
        <v>5</v>
      </c>
      <c r="F341" s="96" t="s">
        <v>860</v>
      </c>
    </row>
    <row r="342" spans="1:6" s="35" customFormat="1" hidden="1" x14ac:dyDescent="0.3">
      <c r="A342" s="33">
        <v>244897</v>
      </c>
      <c r="B342" s="119" t="s">
        <v>2854</v>
      </c>
      <c r="C342" s="120" t="str">
        <f>"627843091561"</f>
        <v>627843091561</v>
      </c>
      <c r="D342" s="100" t="s">
        <v>555</v>
      </c>
      <c r="E342" s="10" t="s">
        <v>5</v>
      </c>
      <c r="F342" s="96">
        <v>43984</v>
      </c>
    </row>
    <row r="343" spans="1:6" s="35" customFormat="1" hidden="1" x14ac:dyDescent="0.3">
      <c r="A343" s="110">
        <v>560110</v>
      </c>
      <c r="B343" s="119" t="s">
        <v>2840</v>
      </c>
      <c r="C343" s="130">
        <v>628055411048</v>
      </c>
      <c r="D343" s="100" t="s">
        <v>25</v>
      </c>
      <c r="E343" s="10" t="s">
        <v>2853</v>
      </c>
      <c r="F343" s="96">
        <v>43942</v>
      </c>
    </row>
    <row r="344" spans="1:6" s="147" customFormat="1" x14ac:dyDescent="0.3">
      <c r="A344" s="33">
        <v>297655</v>
      </c>
      <c r="B344" s="132" t="s">
        <v>2847</v>
      </c>
      <c r="C344" s="95" t="s">
        <v>2849</v>
      </c>
      <c r="D344" s="133" t="s">
        <v>137</v>
      </c>
      <c r="E344" s="10" t="s">
        <v>2852</v>
      </c>
      <c r="F344" s="96">
        <v>43956</v>
      </c>
    </row>
    <row r="345" spans="1:6" s="147" customFormat="1" x14ac:dyDescent="0.3">
      <c r="A345" s="33">
        <v>620773</v>
      </c>
      <c r="B345" s="132" t="s">
        <v>2848</v>
      </c>
      <c r="C345" s="130">
        <v>8002062001652</v>
      </c>
      <c r="D345" s="133" t="s">
        <v>202</v>
      </c>
      <c r="E345" s="10" t="s">
        <v>2850</v>
      </c>
      <c r="F345" s="96">
        <v>43956</v>
      </c>
    </row>
    <row r="346" spans="1:6" s="147" customFormat="1" x14ac:dyDescent="0.3">
      <c r="A346" s="33">
        <v>155051</v>
      </c>
      <c r="B346" s="132" t="s">
        <v>2847</v>
      </c>
      <c r="C346" s="130">
        <v>8002062000068</v>
      </c>
      <c r="D346" s="133" t="s">
        <v>202</v>
      </c>
      <c r="E346" s="10" t="s">
        <v>2851</v>
      </c>
      <c r="F346" s="96">
        <v>43956</v>
      </c>
    </row>
    <row r="347" spans="1:6" s="147" customFormat="1" ht="27.95" hidden="1" x14ac:dyDescent="0.3">
      <c r="A347" s="33">
        <v>470096</v>
      </c>
      <c r="B347" s="132" t="s">
        <v>2845</v>
      </c>
      <c r="C347" s="148">
        <v>3391180007079</v>
      </c>
      <c r="D347" s="133" t="s">
        <v>202</v>
      </c>
      <c r="E347" s="132" t="s">
        <v>2846</v>
      </c>
      <c r="F347" s="96">
        <v>43936</v>
      </c>
    </row>
    <row r="348" spans="1:6" s="147" customFormat="1" ht="27.95" hidden="1" x14ac:dyDescent="0.3">
      <c r="A348" s="33" t="str">
        <f>"0488411"</f>
        <v>0488411</v>
      </c>
      <c r="B348" s="132" t="s">
        <v>2843</v>
      </c>
      <c r="C348" s="146" t="str">
        <f>"056327004146"</f>
        <v>056327004146</v>
      </c>
      <c r="D348" s="85" t="s">
        <v>98</v>
      </c>
      <c r="E348" s="144" t="s">
        <v>2844</v>
      </c>
      <c r="F348" s="96" t="s">
        <v>860</v>
      </c>
    </row>
    <row r="349" spans="1:6" s="35" customFormat="1" hidden="1" x14ac:dyDescent="0.3">
      <c r="A349" s="33" t="str">
        <f>"0467027"</f>
        <v>0467027</v>
      </c>
      <c r="B349" s="119" t="s">
        <v>2841</v>
      </c>
      <c r="C349" s="120" t="str">
        <f>"627843465256"</f>
        <v>627843465256</v>
      </c>
      <c r="D349" s="100" t="s">
        <v>48</v>
      </c>
      <c r="E349" s="10" t="s">
        <v>5</v>
      </c>
      <c r="F349" s="96" t="s">
        <v>860</v>
      </c>
    </row>
    <row r="350" spans="1:6" s="35" customFormat="1" hidden="1" x14ac:dyDescent="0.3">
      <c r="A350" s="33">
        <v>574418</v>
      </c>
      <c r="B350" s="119" t="s">
        <v>2842</v>
      </c>
      <c r="C350" s="117">
        <v>627843465317</v>
      </c>
      <c r="D350" s="100" t="s">
        <v>48</v>
      </c>
      <c r="E350" s="10" t="s">
        <v>5</v>
      </c>
      <c r="F350" s="96" t="s">
        <v>860</v>
      </c>
    </row>
    <row r="351" spans="1:6" s="35" customFormat="1" hidden="1" x14ac:dyDescent="0.3">
      <c r="A351" s="33" t="str">
        <f>"0560110"</f>
        <v>0560110</v>
      </c>
      <c r="B351" s="119" t="s">
        <v>2840</v>
      </c>
      <c r="C351" s="120" t="str">
        <f>"628055411048"</f>
        <v>628055411048</v>
      </c>
      <c r="D351" s="100" t="s">
        <v>25</v>
      </c>
      <c r="E351" s="10" t="s">
        <v>5</v>
      </c>
      <c r="F351" s="96">
        <v>43936</v>
      </c>
    </row>
    <row r="352" spans="1:6" s="35" customFormat="1" hidden="1" x14ac:dyDescent="0.3">
      <c r="A352" s="33" t="str">
        <f>"0013525"</f>
        <v>0013525</v>
      </c>
      <c r="B352" s="119" t="s">
        <v>2223</v>
      </c>
      <c r="C352" s="120" t="str">
        <f>"602573898925"</f>
        <v>602573898925</v>
      </c>
      <c r="D352" s="100" t="s">
        <v>25</v>
      </c>
      <c r="E352" s="10" t="s">
        <v>5</v>
      </c>
      <c r="F352" s="96">
        <v>43936</v>
      </c>
    </row>
    <row r="353" spans="1:6" s="35" customFormat="1" hidden="1" x14ac:dyDescent="0.3">
      <c r="A353" s="33" t="str">
        <f>"0013768"</f>
        <v>0013768</v>
      </c>
      <c r="B353" s="119" t="s">
        <v>2839</v>
      </c>
      <c r="C353" s="120" t="str">
        <f>"602573898994"</f>
        <v>602573898994</v>
      </c>
      <c r="D353" s="100" t="s">
        <v>124</v>
      </c>
      <c r="E353" s="10" t="s">
        <v>5</v>
      </c>
      <c r="F353" s="96">
        <v>43936</v>
      </c>
    </row>
    <row r="354" spans="1:6" s="35" customFormat="1" hidden="1" x14ac:dyDescent="0.3">
      <c r="A354" s="33" t="str">
        <f>"0450304"</f>
        <v>0450304</v>
      </c>
      <c r="B354" s="119" t="s">
        <v>2838</v>
      </c>
      <c r="C354" s="120" t="str">
        <f>"186360000291"</f>
        <v>186360000291</v>
      </c>
      <c r="D354" s="100" t="s">
        <v>25</v>
      </c>
      <c r="E354" s="10" t="s">
        <v>5</v>
      </c>
      <c r="F354" s="96">
        <v>43936</v>
      </c>
    </row>
    <row r="355" spans="1:6" s="35" customFormat="1" hidden="1" x14ac:dyDescent="0.3">
      <c r="A355" s="33" t="str">
        <f>"0560045"</f>
        <v>0560045</v>
      </c>
      <c r="B355" s="119" t="s">
        <v>2837</v>
      </c>
      <c r="C355" s="120" t="str">
        <f>"627843577492"</f>
        <v>627843577492</v>
      </c>
      <c r="D355" s="100" t="s">
        <v>555</v>
      </c>
      <c r="E355" s="10" t="s">
        <v>5</v>
      </c>
      <c r="F355" s="96">
        <v>43936</v>
      </c>
    </row>
    <row r="356" spans="1:6" s="142" customFormat="1" ht="27.95" hidden="1" x14ac:dyDescent="0.3">
      <c r="A356" s="140">
        <v>89029</v>
      </c>
      <c r="B356" s="145" t="s">
        <v>2835</v>
      </c>
      <c r="C356" s="130">
        <v>670459008577</v>
      </c>
      <c r="D356" s="133" t="s">
        <v>202</v>
      </c>
      <c r="E356" s="132" t="s">
        <v>2836</v>
      </c>
      <c r="F356" s="96" t="s">
        <v>860</v>
      </c>
    </row>
    <row r="357" spans="1:6" s="35" customFormat="1" ht="27.95" hidden="1" x14ac:dyDescent="0.3">
      <c r="A357" s="110">
        <v>493916</v>
      </c>
      <c r="B357" s="119" t="s">
        <v>2829</v>
      </c>
      <c r="C357" s="134">
        <v>56910401338</v>
      </c>
      <c r="D357" s="100" t="s">
        <v>98</v>
      </c>
      <c r="E357" s="144" t="s">
        <v>2831</v>
      </c>
      <c r="F357" s="96">
        <v>43942</v>
      </c>
    </row>
    <row r="358" spans="1:6" s="35" customFormat="1" ht="27.95" hidden="1" x14ac:dyDescent="0.3">
      <c r="A358" s="110">
        <v>586677</v>
      </c>
      <c r="B358" s="119" t="s">
        <v>2830</v>
      </c>
      <c r="C358" s="134">
        <v>56910402502</v>
      </c>
      <c r="D358" s="100" t="s">
        <v>98</v>
      </c>
      <c r="E358" s="144" t="s">
        <v>2832</v>
      </c>
      <c r="F358" s="96">
        <v>43942</v>
      </c>
    </row>
    <row r="359" spans="1:6" s="35" customFormat="1" hidden="1" x14ac:dyDescent="0.3">
      <c r="A359" s="33" t="str">
        <f>"0467126"</f>
        <v>0467126</v>
      </c>
      <c r="B359" s="119" t="s">
        <v>2828</v>
      </c>
      <c r="C359" s="120" t="str">
        <f>"742832061063"</f>
        <v>742832061063</v>
      </c>
      <c r="D359" s="100" t="s">
        <v>25</v>
      </c>
      <c r="E359" s="10" t="s">
        <v>5</v>
      </c>
      <c r="F359" s="96" t="s">
        <v>860</v>
      </c>
    </row>
    <row r="360" spans="1:6" s="35" customFormat="1" ht="27.95" hidden="1" x14ac:dyDescent="0.3">
      <c r="A360" s="33" t="str">
        <f>"0534040"</f>
        <v>0534040</v>
      </c>
      <c r="B360" s="119" t="s">
        <v>2825</v>
      </c>
      <c r="C360" s="117" t="str">
        <f>"627843550013"</f>
        <v>627843550013</v>
      </c>
      <c r="D360" s="100" t="s">
        <v>25</v>
      </c>
      <c r="E360" s="144" t="s">
        <v>2826</v>
      </c>
      <c r="F360" s="96" t="s">
        <v>860</v>
      </c>
    </row>
    <row r="361" spans="1:6" s="142" customFormat="1" ht="27.95" hidden="1" x14ac:dyDescent="0.3">
      <c r="A361" s="140">
        <v>493981</v>
      </c>
      <c r="B361" s="141" t="s">
        <v>2823</v>
      </c>
      <c r="C361" s="117">
        <v>874537453147</v>
      </c>
      <c r="D361" s="133" t="s">
        <v>202</v>
      </c>
      <c r="E361" s="132" t="s">
        <v>2824</v>
      </c>
      <c r="F361" s="96">
        <v>43921</v>
      </c>
    </row>
    <row r="362" spans="1:6" s="142" customFormat="1" ht="27.95" hidden="1" x14ac:dyDescent="0.3">
      <c r="A362" s="140">
        <v>279307</v>
      </c>
      <c r="B362" s="141" t="s">
        <v>2814</v>
      </c>
      <c r="C362" s="117">
        <v>87600101092</v>
      </c>
      <c r="D362" s="133" t="s">
        <v>48</v>
      </c>
      <c r="E362" s="143" t="s">
        <v>2818</v>
      </c>
      <c r="F362" s="96">
        <v>43956</v>
      </c>
    </row>
    <row r="363" spans="1:6" s="142" customFormat="1" ht="27.95" hidden="1" x14ac:dyDescent="0.3">
      <c r="A363" s="140">
        <v>331348</v>
      </c>
      <c r="B363" s="141" t="s">
        <v>2815</v>
      </c>
      <c r="C363" s="117">
        <v>5740700991646</v>
      </c>
      <c r="D363" s="133" t="s">
        <v>48</v>
      </c>
      <c r="E363" s="143" t="s">
        <v>2819</v>
      </c>
      <c r="F363" s="96">
        <v>43936</v>
      </c>
    </row>
    <row r="364" spans="1:6" s="142" customFormat="1" ht="27.95" hidden="1" x14ac:dyDescent="0.3">
      <c r="A364" s="140">
        <v>413138</v>
      </c>
      <c r="B364" s="141" t="s">
        <v>2816</v>
      </c>
      <c r="C364" s="117">
        <v>5740700989100</v>
      </c>
      <c r="D364" s="133" t="s">
        <v>48</v>
      </c>
      <c r="E364" s="143" t="s">
        <v>2820</v>
      </c>
      <c r="F364" s="96">
        <v>43963</v>
      </c>
    </row>
    <row r="365" spans="1:6" s="142" customFormat="1" ht="27.95" hidden="1" x14ac:dyDescent="0.3">
      <c r="A365" s="140">
        <v>494591</v>
      </c>
      <c r="B365" s="141" t="s">
        <v>2817</v>
      </c>
      <c r="C365" s="117">
        <v>87600101429</v>
      </c>
      <c r="D365" s="133" t="s">
        <v>48</v>
      </c>
      <c r="E365" s="143" t="s">
        <v>2821</v>
      </c>
      <c r="F365" s="96">
        <v>43956</v>
      </c>
    </row>
    <row r="366" spans="1:6" s="142" customFormat="1" ht="27.95" hidden="1" x14ac:dyDescent="0.3">
      <c r="A366" s="140">
        <v>568998</v>
      </c>
      <c r="B366" s="141" t="s">
        <v>2197</v>
      </c>
      <c r="C366" s="117">
        <v>5740700986918</v>
      </c>
      <c r="D366" s="133" t="s">
        <v>48</v>
      </c>
      <c r="E366" s="143" t="s">
        <v>2822</v>
      </c>
      <c r="F366" s="96">
        <v>43963</v>
      </c>
    </row>
    <row r="367" spans="1:6" s="35" customFormat="1" hidden="1" x14ac:dyDescent="0.3">
      <c r="A367" s="33" t="str">
        <f>"0353987"</f>
        <v>0353987</v>
      </c>
      <c r="B367" s="119" t="s">
        <v>2813</v>
      </c>
      <c r="C367" s="120" t="str">
        <f>"4004866060136"</f>
        <v>4004866060136</v>
      </c>
      <c r="D367" s="100" t="s">
        <v>48</v>
      </c>
      <c r="E367" s="10" t="s">
        <v>5</v>
      </c>
      <c r="F367" s="96">
        <v>43977</v>
      </c>
    </row>
    <row r="368" spans="1:6" s="35" customFormat="1" hidden="1" x14ac:dyDescent="0.3">
      <c r="A368" s="33" t="str">
        <f>"0079962"</f>
        <v>0079962</v>
      </c>
      <c r="B368" s="119" t="s">
        <v>2812</v>
      </c>
      <c r="C368" s="120" t="str">
        <f>"072783000058"</f>
        <v>072783000058</v>
      </c>
      <c r="D368" s="100" t="s">
        <v>37</v>
      </c>
      <c r="E368" s="10" t="s">
        <v>5</v>
      </c>
      <c r="F368" s="96">
        <v>43949</v>
      </c>
    </row>
    <row r="369" spans="1:6" s="35" customFormat="1" hidden="1" x14ac:dyDescent="0.3">
      <c r="A369" s="33" t="str">
        <f>"0449918"</f>
        <v>0449918</v>
      </c>
      <c r="B369" s="119" t="s">
        <v>2811</v>
      </c>
      <c r="C369" s="120" t="str">
        <f>"818662000050"</f>
        <v>818662000050</v>
      </c>
      <c r="D369" s="100" t="s">
        <v>25</v>
      </c>
      <c r="E369" s="10" t="s">
        <v>5</v>
      </c>
      <c r="F369" s="96">
        <v>43928</v>
      </c>
    </row>
    <row r="370" spans="1:6" s="35" customFormat="1" hidden="1" x14ac:dyDescent="0.3">
      <c r="A370" s="33" t="str">
        <f>"0448886"</f>
        <v>0448886</v>
      </c>
      <c r="B370" s="119" t="s">
        <v>2810</v>
      </c>
      <c r="C370" s="120" t="str">
        <f>"627843370963"</f>
        <v>627843370963</v>
      </c>
      <c r="D370" s="100" t="s">
        <v>25</v>
      </c>
      <c r="E370" s="10" t="s">
        <v>5</v>
      </c>
      <c r="F370" s="96" t="s">
        <v>860</v>
      </c>
    </row>
    <row r="371" spans="1:6" s="35" customFormat="1" hidden="1" x14ac:dyDescent="0.3">
      <c r="A371" s="33" t="str">
        <f>"0574418"</f>
        <v>0574418</v>
      </c>
      <c r="B371" s="119" t="s">
        <v>2809</v>
      </c>
      <c r="C371" s="120" t="str">
        <f>"627843465317"</f>
        <v>627843465317</v>
      </c>
      <c r="D371" s="100" t="s">
        <v>48</v>
      </c>
      <c r="E371" s="10" t="s">
        <v>5</v>
      </c>
      <c r="F371" s="96" t="s">
        <v>860</v>
      </c>
    </row>
    <row r="372" spans="1:6" s="35" customFormat="1" ht="27.95" hidden="1" x14ac:dyDescent="0.3">
      <c r="A372" s="33">
        <v>409623</v>
      </c>
      <c r="B372" s="119" t="s">
        <v>2806</v>
      </c>
      <c r="C372" s="120">
        <v>62067508356</v>
      </c>
      <c r="D372" s="100" t="s">
        <v>98</v>
      </c>
      <c r="E372" s="144" t="s">
        <v>2827</v>
      </c>
      <c r="F372" s="96">
        <v>43914</v>
      </c>
    </row>
    <row r="373" spans="1:6" s="35" customFormat="1" ht="27.95" hidden="1" x14ac:dyDescent="0.3">
      <c r="A373" s="33">
        <v>696161</v>
      </c>
      <c r="B373" s="119" t="s">
        <v>2807</v>
      </c>
      <c r="C373" s="120">
        <v>62067318351</v>
      </c>
      <c r="D373" s="100" t="s">
        <v>98</v>
      </c>
      <c r="E373" s="144" t="s">
        <v>2833</v>
      </c>
      <c r="F373" s="96">
        <v>43914</v>
      </c>
    </row>
    <row r="374" spans="1:6" s="35" customFormat="1" ht="27.95" hidden="1" x14ac:dyDescent="0.3">
      <c r="A374" s="33">
        <v>279877</v>
      </c>
      <c r="B374" s="119" t="s">
        <v>2808</v>
      </c>
      <c r="C374" s="120">
        <v>62067317354</v>
      </c>
      <c r="D374" s="100" t="s">
        <v>98</v>
      </c>
      <c r="E374" s="144" t="s">
        <v>2834</v>
      </c>
      <c r="F374" s="96">
        <v>43914</v>
      </c>
    </row>
    <row r="375" spans="1:6" s="35" customFormat="1" hidden="1" x14ac:dyDescent="0.3">
      <c r="A375" s="33" t="str">
        <f>"0335059"</f>
        <v>0335059</v>
      </c>
      <c r="B375" s="119" t="s">
        <v>2804</v>
      </c>
      <c r="C375" s="120" t="str">
        <f>"701467114100"</f>
        <v>701467114100</v>
      </c>
      <c r="D375" s="100" t="s">
        <v>29</v>
      </c>
      <c r="E375" s="10" t="s">
        <v>2805</v>
      </c>
      <c r="F375" s="96" t="s">
        <v>860</v>
      </c>
    </row>
    <row r="376" spans="1:6" s="35" customFormat="1" hidden="1" x14ac:dyDescent="0.3">
      <c r="A376" s="33">
        <v>328013</v>
      </c>
      <c r="B376" s="119" t="s">
        <v>2799</v>
      </c>
      <c r="C376" s="120" t="s">
        <v>2800</v>
      </c>
      <c r="D376" s="100" t="s">
        <v>202</v>
      </c>
      <c r="E376" s="10" t="s">
        <v>2803</v>
      </c>
      <c r="F376" s="96" t="s">
        <v>860</v>
      </c>
    </row>
    <row r="377" spans="1:6" s="35" customFormat="1" hidden="1" x14ac:dyDescent="0.3">
      <c r="A377" s="33">
        <v>361873</v>
      </c>
      <c r="B377" s="119" t="s">
        <v>2801</v>
      </c>
      <c r="C377" s="120" t="s">
        <v>2802</v>
      </c>
      <c r="D377" s="100" t="s">
        <v>202</v>
      </c>
      <c r="E377" s="10" t="s">
        <v>2803</v>
      </c>
      <c r="F377" s="96" t="s">
        <v>860</v>
      </c>
    </row>
    <row r="378" spans="1:6" s="35" customFormat="1" x14ac:dyDescent="0.3">
      <c r="A378" s="33">
        <v>297663</v>
      </c>
      <c r="B378" s="119" t="s">
        <v>2797</v>
      </c>
      <c r="C378" s="117">
        <v>8002062001713</v>
      </c>
      <c r="D378" s="100" t="s">
        <v>137</v>
      </c>
      <c r="E378" s="132" t="s">
        <v>2798</v>
      </c>
      <c r="F378" s="96">
        <v>43914</v>
      </c>
    </row>
    <row r="379" spans="1:6" s="35" customFormat="1" x14ac:dyDescent="0.3">
      <c r="A379" s="33">
        <v>27854</v>
      </c>
      <c r="B379" s="119" t="s">
        <v>2796</v>
      </c>
      <c r="C379" s="117">
        <v>8002062013303</v>
      </c>
      <c r="D379" s="100" t="s">
        <v>496</v>
      </c>
      <c r="E379" s="132" t="s">
        <v>2795</v>
      </c>
      <c r="F379" s="96">
        <v>43914</v>
      </c>
    </row>
    <row r="380" spans="1:6" s="35" customFormat="1" ht="27.95" hidden="1" x14ac:dyDescent="0.3">
      <c r="A380" s="33">
        <v>307686</v>
      </c>
      <c r="B380" s="119" t="s">
        <v>2793</v>
      </c>
      <c r="C380" s="117">
        <v>670459009642</v>
      </c>
      <c r="D380" s="100" t="s">
        <v>202</v>
      </c>
      <c r="E380" s="132" t="s">
        <v>2794</v>
      </c>
      <c r="F380" s="96">
        <v>43896</v>
      </c>
    </row>
    <row r="381" spans="1:6" s="35" customFormat="1" hidden="1" x14ac:dyDescent="0.3">
      <c r="A381" s="33">
        <v>491118</v>
      </c>
      <c r="B381" s="119" t="s">
        <v>2791</v>
      </c>
      <c r="C381" s="117">
        <v>8436539761235</v>
      </c>
      <c r="D381" s="100" t="s">
        <v>455</v>
      </c>
      <c r="E381" s="10" t="s">
        <v>5</v>
      </c>
      <c r="F381" s="96">
        <v>43914</v>
      </c>
    </row>
    <row r="382" spans="1:6" s="35" customFormat="1" hidden="1" x14ac:dyDescent="0.3">
      <c r="A382" s="33">
        <v>389767</v>
      </c>
      <c r="B382" s="119" t="s">
        <v>2790</v>
      </c>
      <c r="C382" s="117">
        <v>661144000631</v>
      </c>
      <c r="D382" s="100" t="s">
        <v>202</v>
      </c>
      <c r="E382" s="10" t="s">
        <v>2792</v>
      </c>
      <c r="F382" s="96" t="s">
        <v>860</v>
      </c>
    </row>
    <row r="383" spans="1:6" s="35" customFormat="1" hidden="1" x14ac:dyDescent="0.3">
      <c r="A383" s="33" t="str">
        <f>"0012457"</f>
        <v>0012457</v>
      </c>
      <c r="B383" s="119" t="s">
        <v>2784</v>
      </c>
      <c r="C383" s="117" t="str">
        <f>"727530564115"</f>
        <v>727530564115</v>
      </c>
      <c r="D383" s="100" t="s">
        <v>25</v>
      </c>
      <c r="E383" s="10" t="s">
        <v>2786</v>
      </c>
      <c r="F383" s="96" t="s">
        <v>860</v>
      </c>
    </row>
    <row r="384" spans="1:6" s="35" customFormat="1" hidden="1" x14ac:dyDescent="0.3">
      <c r="A384" s="33" t="str">
        <f>"0923847"</f>
        <v>0923847</v>
      </c>
      <c r="B384" s="119" t="s">
        <v>2783</v>
      </c>
      <c r="C384" s="117" t="str">
        <f>"627167100475"</f>
        <v>627167100475</v>
      </c>
      <c r="D384" s="100" t="s">
        <v>98</v>
      </c>
      <c r="E384" s="10" t="s">
        <v>2785</v>
      </c>
      <c r="F384" s="96" t="s">
        <v>860</v>
      </c>
    </row>
    <row r="385" spans="1:6" s="35" customFormat="1" hidden="1" x14ac:dyDescent="0.3">
      <c r="A385" s="33" t="str">
        <f>"0559864"</f>
        <v>0559864</v>
      </c>
      <c r="B385" s="119" t="s">
        <v>2787</v>
      </c>
      <c r="C385" s="117" t="str">
        <f>"879274000357"</f>
        <v>879274000357</v>
      </c>
      <c r="D385" s="100" t="s">
        <v>25</v>
      </c>
      <c r="E385" s="10" t="s">
        <v>5</v>
      </c>
      <c r="F385" s="96">
        <v>43907</v>
      </c>
    </row>
    <row r="386" spans="1:6" s="35" customFormat="1" hidden="1" x14ac:dyDescent="0.3">
      <c r="A386" s="33" t="str">
        <f>"0538512"</f>
        <v>0538512</v>
      </c>
      <c r="B386" s="119" t="s">
        <v>2788</v>
      </c>
      <c r="C386" s="117" t="str">
        <f>"628055731177"</f>
        <v>628055731177</v>
      </c>
      <c r="D386" s="100" t="s">
        <v>2789</v>
      </c>
      <c r="E386" s="10" t="s">
        <v>5</v>
      </c>
      <c r="F386" s="96">
        <v>43907</v>
      </c>
    </row>
    <row r="387" spans="1:6" s="35" customFormat="1" hidden="1" x14ac:dyDescent="0.3">
      <c r="A387" s="33">
        <v>145102</v>
      </c>
      <c r="B387" s="119" t="s">
        <v>2781</v>
      </c>
      <c r="C387" s="117">
        <v>776545985507</v>
      </c>
      <c r="D387" s="100" t="s">
        <v>202</v>
      </c>
      <c r="E387" s="10" t="s">
        <v>5</v>
      </c>
      <c r="F387" s="96">
        <v>43907</v>
      </c>
    </row>
    <row r="388" spans="1:6" s="35" customFormat="1" hidden="1" x14ac:dyDescent="0.3">
      <c r="A388" s="33">
        <v>145094</v>
      </c>
      <c r="B388" s="119" t="s">
        <v>2780</v>
      </c>
      <c r="C388" s="117">
        <v>776545995001</v>
      </c>
      <c r="D388" s="100" t="s">
        <v>202</v>
      </c>
      <c r="E388" s="10" t="s">
        <v>5</v>
      </c>
      <c r="F388" s="96" t="s">
        <v>860</v>
      </c>
    </row>
    <row r="389" spans="1:6" s="35" customFormat="1" hidden="1" x14ac:dyDescent="0.3">
      <c r="A389" s="33" t="str">
        <f>"0411686"</f>
        <v>0411686</v>
      </c>
      <c r="B389" s="119" t="s">
        <v>2782</v>
      </c>
      <c r="C389" s="117" t="str">
        <f>"087692001263"</f>
        <v>087692001263</v>
      </c>
      <c r="D389" s="100" t="s">
        <v>37</v>
      </c>
      <c r="E389" s="10" t="s">
        <v>5</v>
      </c>
      <c r="F389" s="96">
        <v>43907</v>
      </c>
    </row>
    <row r="390" spans="1:6" s="35" customFormat="1" hidden="1" x14ac:dyDescent="0.3">
      <c r="A390" s="33">
        <v>145128</v>
      </c>
      <c r="B390" s="119" t="s">
        <v>2779</v>
      </c>
      <c r="C390" s="117">
        <v>776545995162</v>
      </c>
      <c r="D390" s="100" t="s">
        <v>202</v>
      </c>
      <c r="E390" s="10" t="s">
        <v>5</v>
      </c>
      <c r="F390" s="96">
        <v>43907</v>
      </c>
    </row>
    <row r="391" spans="1:6" s="35" customFormat="1" hidden="1" x14ac:dyDescent="0.3">
      <c r="A391" s="33">
        <v>272401</v>
      </c>
      <c r="B391" s="119" t="s">
        <v>2777</v>
      </c>
      <c r="C391" s="117">
        <v>769434122268</v>
      </c>
      <c r="D391" s="100" t="s">
        <v>202</v>
      </c>
      <c r="E391" s="10" t="s">
        <v>5</v>
      </c>
      <c r="F391" s="96">
        <v>43907</v>
      </c>
    </row>
    <row r="392" spans="1:6" s="35" customFormat="1" hidden="1" x14ac:dyDescent="0.3">
      <c r="A392" s="33">
        <v>237271</v>
      </c>
      <c r="B392" s="119" t="s">
        <v>2778</v>
      </c>
      <c r="C392" s="120">
        <v>81308070377</v>
      </c>
      <c r="D392" s="100" t="s">
        <v>202</v>
      </c>
      <c r="E392" s="10" t="s">
        <v>5</v>
      </c>
      <c r="F392" s="96">
        <v>43907</v>
      </c>
    </row>
    <row r="393" spans="1:6" s="35" customFormat="1" hidden="1" x14ac:dyDescent="0.3">
      <c r="A393" s="33">
        <v>308122</v>
      </c>
      <c r="B393" s="119" t="s">
        <v>2774</v>
      </c>
      <c r="C393" s="120">
        <v>85000016244</v>
      </c>
      <c r="D393" s="100" t="s">
        <v>202</v>
      </c>
      <c r="E393" s="10" t="s">
        <v>5</v>
      </c>
      <c r="F393" s="96">
        <v>43907</v>
      </c>
    </row>
    <row r="394" spans="1:6" s="35" customFormat="1" hidden="1" x14ac:dyDescent="0.3">
      <c r="A394" s="33">
        <v>292151</v>
      </c>
      <c r="B394" s="119" t="s">
        <v>2775</v>
      </c>
      <c r="C394" s="120">
        <v>85000011638</v>
      </c>
      <c r="D394" s="100" t="s">
        <v>202</v>
      </c>
      <c r="E394" s="10" t="s">
        <v>5</v>
      </c>
      <c r="F394" s="96">
        <v>43907</v>
      </c>
    </row>
    <row r="395" spans="1:6" s="35" customFormat="1" hidden="1" x14ac:dyDescent="0.3">
      <c r="A395" s="33">
        <v>454876</v>
      </c>
      <c r="B395" s="119" t="s">
        <v>2776</v>
      </c>
      <c r="C395" s="120">
        <v>85000016220</v>
      </c>
      <c r="D395" s="100" t="s">
        <v>202</v>
      </c>
      <c r="E395" s="10" t="s">
        <v>5</v>
      </c>
      <c r="F395" s="96">
        <v>43907</v>
      </c>
    </row>
    <row r="396" spans="1:6" s="35" customFormat="1" hidden="1" x14ac:dyDescent="0.3">
      <c r="A396" s="33">
        <v>31898</v>
      </c>
      <c r="B396" s="119" t="s">
        <v>2773</v>
      </c>
      <c r="C396" s="117">
        <v>3159560527018</v>
      </c>
      <c r="D396" s="100" t="s">
        <v>202</v>
      </c>
      <c r="E396" s="10" t="s">
        <v>5</v>
      </c>
      <c r="F396" s="96">
        <v>43907</v>
      </c>
    </row>
    <row r="397" spans="1:6" s="35" customFormat="1" hidden="1" x14ac:dyDescent="0.3">
      <c r="A397" s="33">
        <v>394742</v>
      </c>
      <c r="B397" s="119" t="s">
        <v>2771</v>
      </c>
      <c r="C397" s="120">
        <v>86003253025</v>
      </c>
      <c r="D397" s="100" t="s">
        <v>202</v>
      </c>
      <c r="E397" s="10" t="s">
        <v>5</v>
      </c>
      <c r="F397" s="96">
        <v>43907</v>
      </c>
    </row>
    <row r="398" spans="1:6" s="35" customFormat="1" hidden="1" x14ac:dyDescent="0.3">
      <c r="A398" s="33">
        <v>394759</v>
      </c>
      <c r="B398" s="119" t="s">
        <v>2772</v>
      </c>
      <c r="C398" s="120">
        <v>86003253001</v>
      </c>
      <c r="D398" s="100" t="s">
        <v>202</v>
      </c>
      <c r="E398" s="10" t="s">
        <v>5</v>
      </c>
      <c r="F398" s="96">
        <v>43907</v>
      </c>
    </row>
    <row r="399" spans="1:6" s="35" customFormat="1" hidden="1" x14ac:dyDescent="0.3">
      <c r="A399" s="33">
        <v>492231</v>
      </c>
      <c r="B399" s="119" t="s">
        <v>2769</v>
      </c>
      <c r="C399" s="120">
        <v>63657035924</v>
      </c>
      <c r="D399" s="100" t="s">
        <v>2770</v>
      </c>
      <c r="E399" s="10" t="s">
        <v>5</v>
      </c>
      <c r="F399" s="96">
        <v>43907</v>
      </c>
    </row>
    <row r="400" spans="1:6" s="35" customFormat="1" hidden="1" x14ac:dyDescent="0.3">
      <c r="A400" s="33" t="str">
        <f>"0488445"</f>
        <v>0488445</v>
      </c>
      <c r="B400" s="119" t="s">
        <v>818</v>
      </c>
      <c r="C400" s="120" t="str">
        <f>"5011348017099"</f>
        <v>5011348017099</v>
      </c>
      <c r="D400" s="100" t="s">
        <v>48</v>
      </c>
      <c r="E400" s="10" t="s">
        <v>5</v>
      </c>
      <c r="F400" s="96">
        <v>43907</v>
      </c>
    </row>
    <row r="401" spans="1:8" s="35" customFormat="1" hidden="1" x14ac:dyDescent="0.3">
      <c r="A401" s="33">
        <v>629022</v>
      </c>
      <c r="B401" s="119" t="s">
        <v>2763</v>
      </c>
      <c r="C401" s="120" t="s">
        <v>2764</v>
      </c>
      <c r="D401" s="100" t="s">
        <v>1115</v>
      </c>
      <c r="E401" s="10" t="s">
        <v>5</v>
      </c>
      <c r="F401" s="96" t="s">
        <v>860</v>
      </c>
    </row>
    <row r="402" spans="1:8" s="35" customFormat="1" hidden="1" x14ac:dyDescent="0.3">
      <c r="A402" s="33">
        <v>488577</v>
      </c>
      <c r="B402" s="119" t="s">
        <v>2765</v>
      </c>
      <c r="C402" s="120" t="s">
        <v>2766</v>
      </c>
      <c r="D402" s="100" t="s">
        <v>1115</v>
      </c>
      <c r="E402" s="10" t="s">
        <v>5</v>
      </c>
      <c r="F402" s="96" t="s">
        <v>860</v>
      </c>
    </row>
    <row r="403" spans="1:8" s="35" customFormat="1" hidden="1" x14ac:dyDescent="0.3">
      <c r="A403" s="33">
        <v>543975</v>
      </c>
      <c r="B403" s="119" t="s">
        <v>2767</v>
      </c>
      <c r="C403" s="120" t="s">
        <v>2768</v>
      </c>
      <c r="D403" s="100" t="s">
        <v>1115</v>
      </c>
      <c r="E403" s="10" t="s">
        <v>5</v>
      </c>
      <c r="F403" s="96" t="s">
        <v>860</v>
      </c>
    </row>
    <row r="404" spans="1:8" s="35" customFormat="1" ht="27.95" hidden="1" x14ac:dyDescent="0.3">
      <c r="A404" s="33">
        <v>589432</v>
      </c>
      <c r="B404" s="119" t="s">
        <v>2736</v>
      </c>
      <c r="C404" s="133">
        <v>604174000974</v>
      </c>
      <c r="D404" s="100" t="s">
        <v>1115</v>
      </c>
      <c r="E404" s="132" t="s">
        <v>2737</v>
      </c>
      <c r="F404" s="96">
        <v>43900</v>
      </c>
      <c r="G404" s="64"/>
      <c r="H404" s="64"/>
    </row>
    <row r="405" spans="1:8" s="35" customFormat="1" hidden="1" x14ac:dyDescent="0.3">
      <c r="A405" s="110">
        <v>12339</v>
      </c>
      <c r="B405" s="119" t="s">
        <v>2759</v>
      </c>
      <c r="C405" s="130">
        <v>621433026049</v>
      </c>
      <c r="D405" s="100" t="s">
        <v>124</v>
      </c>
      <c r="E405" s="10" t="s">
        <v>5</v>
      </c>
      <c r="F405" s="96">
        <v>43900</v>
      </c>
      <c r="G405" s="64"/>
      <c r="H405" s="64"/>
    </row>
    <row r="406" spans="1:8" s="35" customFormat="1" hidden="1" x14ac:dyDescent="0.3">
      <c r="A406" s="110">
        <v>13668</v>
      </c>
      <c r="B406" s="119" t="s">
        <v>2760</v>
      </c>
      <c r="C406" s="130">
        <v>621433099043</v>
      </c>
      <c r="D406" s="100" t="s">
        <v>25</v>
      </c>
      <c r="E406" s="10" t="s">
        <v>5</v>
      </c>
      <c r="F406" s="96">
        <v>43900</v>
      </c>
      <c r="G406" s="64"/>
      <c r="H406" s="64"/>
    </row>
    <row r="407" spans="1:8" s="35" customFormat="1" hidden="1" x14ac:dyDescent="0.3">
      <c r="A407" s="110">
        <v>462739</v>
      </c>
      <c r="B407" s="119" t="s">
        <v>2761</v>
      </c>
      <c r="C407" s="130">
        <v>621433092044</v>
      </c>
      <c r="D407" s="100" t="s">
        <v>25</v>
      </c>
      <c r="E407" s="10" t="s">
        <v>5</v>
      </c>
      <c r="F407" s="96">
        <v>43900</v>
      </c>
      <c r="G407" s="64"/>
      <c r="H407" s="64"/>
    </row>
    <row r="408" spans="1:8" s="35" customFormat="1" hidden="1" x14ac:dyDescent="0.3">
      <c r="A408" s="110">
        <v>524173</v>
      </c>
      <c r="B408" s="119" t="s">
        <v>2762</v>
      </c>
      <c r="C408" s="130">
        <v>621433011137</v>
      </c>
      <c r="D408" s="100" t="s">
        <v>37</v>
      </c>
      <c r="E408" s="10" t="s">
        <v>5</v>
      </c>
      <c r="F408" s="96">
        <v>43900</v>
      </c>
      <c r="G408" s="64"/>
      <c r="H408" s="64"/>
    </row>
    <row r="409" spans="1:8" s="35" customFormat="1" hidden="1" x14ac:dyDescent="0.3">
      <c r="A409" s="110" t="str">
        <f>"0010312"</f>
        <v>0010312</v>
      </c>
      <c r="B409" s="119" t="s">
        <v>2756</v>
      </c>
      <c r="C409" s="130" t="str">
        <f>"627843872504"</f>
        <v>627843872504</v>
      </c>
      <c r="D409" s="100" t="s">
        <v>25</v>
      </c>
      <c r="E409" s="10" t="s">
        <v>2757</v>
      </c>
      <c r="F409" s="96" t="s">
        <v>860</v>
      </c>
      <c r="G409" s="64"/>
      <c r="H409" s="64"/>
    </row>
    <row r="410" spans="1:8" s="35" customFormat="1" hidden="1" x14ac:dyDescent="0.3">
      <c r="A410" s="110" t="str">
        <f>"0012911"</f>
        <v>0012911</v>
      </c>
      <c r="B410" s="119" t="s">
        <v>2755</v>
      </c>
      <c r="C410" s="130" t="str">
        <f>"056910120031"</f>
        <v>056910120031</v>
      </c>
      <c r="D410" s="100" t="s">
        <v>202</v>
      </c>
      <c r="E410" s="132" t="s">
        <v>5</v>
      </c>
      <c r="F410" s="96">
        <v>43893</v>
      </c>
      <c r="G410" s="64"/>
      <c r="H410" s="64"/>
    </row>
    <row r="411" spans="1:8" s="35" customFormat="1" hidden="1" x14ac:dyDescent="0.3">
      <c r="A411" s="110" t="str">
        <f>"0010821"</f>
        <v>0010821</v>
      </c>
      <c r="B411" s="119" t="s">
        <v>2754</v>
      </c>
      <c r="C411" s="130" t="str">
        <f>"056910793754"</f>
        <v>056910793754</v>
      </c>
      <c r="D411" s="100" t="s">
        <v>202</v>
      </c>
      <c r="E411" s="132" t="s">
        <v>5</v>
      </c>
      <c r="F411" s="96" t="s">
        <v>860</v>
      </c>
      <c r="G411" s="64"/>
      <c r="H411" s="64"/>
    </row>
    <row r="412" spans="1:8" s="35" customFormat="1" hidden="1" x14ac:dyDescent="0.3">
      <c r="A412" s="110" t="str">
        <f>"0497214"</f>
        <v>0497214</v>
      </c>
      <c r="B412" s="119" t="s">
        <v>2752</v>
      </c>
      <c r="C412" s="130" t="str">
        <f>"628055640011"</f>
        <v>628055640011</v>
      </c>
      <c r="D412" s="100" t="s">
        <v>25</v>
      </c>
      <c r="E412" s="132" t="s">
        <v>2753</v>
      </c>
      <c r="F412" s="96" t="s">
        <v>860</v>
      </c>
      <c r="G412" s="64"/>
      <c r="H412" s="64"/>
    </row>
    <row r="413" spans="1:8" s="35" customFormat="1" hidden="1" x14ac:dyDescent="0.3">
      <c r="A413" s="110">
        <v>465138</v>
      </c>
      <c r="B413" s="119" t="s">
        <v>2746</v>
      </c>
      <c r="C413" s="130">
        <v>627843578352</v>
      </c>
      <c r="D413" s="100" t="s">
        <v>25</v>
      </c>
      <c r="E413" s="132" t="s">
        <v>5</v>
      </c>
      <c r="F413" s="96" t="s">
        <v>860</v>
      </c>
      <c r="G413" s="64"/>
      <c r="H413" s="64"/>
    </row>
    <row r="414" spans="1:8" s="35" customFormat="1" hidden="1" x14ac:dyDescent="0.3">
      <c r="A414" s="110">
        <v>466664</v>
      </c>
      <c r="B414" s="119" t="s">
        <v>2747</v>
      </c>
      <c r="C414" s="130">
        <v>627843578345</v>
      </c>
      <c r="D414" s="100" t="s">
        <v>25</v>
      </c>
      <c r="E414" s="132" t="s">
        <v>5</v>
      </c>
      <c r="F414" s="96" t="s">
        <v>860</v>
      </c>
      <c r="G414" s="64"/>
      <c r="H414" s="64"/>
    </row>
    <row r="415" spans="1:8" s="35" customFormat="1" hidden="1" x14ac:dyDescent="0.3">
      <c r="A415" s="33" t="str">
        <f>"0013536"</f>
        <v>0013536</v>
      </c>
      <c r="B415" s="119" t="s">
        <v>2748</v>
      </c>
      <c r="C415" s="130" t="str">
        <f>"891332000109"</f>
        <v>891332000109</v>
      </c>
      <c r="D415" s="100" t="s">
        <v>25</v>
      </c>
      <c r="E415" s="132" t="s">
        <v>5</v>
      </c>
      <c r="F415" s="96" t="s">
        <v>860</v>
      </c>
      <c r="G415" s="64"/>
      <c r="H415" s="64"/>
    </row>
    <row r="416" spans="1:8" s="35" customFormat="1" hidden="1" x14ac:dyDescent="0.3">
      <c r="A416" s="33">
        <v>568683</v>
      </c>
      <c r="B416" s="119" t="s">
        <v>2750</v>
      </c>
      <c r="C416" s="130">
        <v>627587020308</v>
      </c>
      <c r="D416" s="100" t="s">
        <v>25</v>
      </c>
      <c r="E416" s="132" t="s">
        <v>5</v>
      </c>
      <c r="F416" s="96" t="s">
        <v>860</v>
      </c>
      <c r="G416" s="64"/>
      <c r="H416" s="64"/>
    </row>
    <row r="417" spans="1:8" s="35" customFormat="1" hidden="1" x14ac:dyDescent="0.3">
      <c r="A417" s="33">
        <v>638452</v>
      </c>
      <c r="B417" s="119" t="s">
        <v>2751</v>
      </c>
      <c r="C417" s="130">
        <v>819942002092</v>
      </c>
      <c r="D417" s="100" t="s">
        <v>25</v>
      </c>
      <c r="E417" s="132" t="s">
        <v>5</v>
      </c>
      <c r="F417" s="96" t="s">
        <v>860</v>
      </c>
      <c r="G417" s="64"/>
      <c r="H417" s="64"/>
    </row>
    <row r="418" spans="1:8" ht="41.95" hidden="1" x14ac:dyDescent="0.3">
      <c r="A418" s="19" t="str">
        <f>"0571786"</f>
        <v>0571786</v>
      </c>
      <c r="B418" s="10" t="s">
        <v>2575</v>
      </c>
      <c r="C418" s="130" t="str">
        <f>"400003987863"</f>
        <v>400003987863</v>
      </c>
      <c r="D418" s="19" t="s">
        <v>25</v>
      </c>
      <c r="E418" s="55" t="s">
        <v>2758</v>
      </c>
      <c r="F418" s="96">
        <v>43886</v>
      </c>
    </row>
    <row r="419" spans="1:8" s="35" customFormat="1" hidden="1" x14ac:dyDescent="0.3">
      <c r="A419" s="33">
        <v>461798</v>
      </c>
      <c r="B419" s="119" t="s">
        <v>2692</v>
      </c>
      <c r="C419" s="130" t="str">
        <f>"870766000077"</f>
        <v>870766000077</v>
      </c>
      <c r="D419" s="100" t="s">
        <v>25</v>
      </c>
      <c r="E419" s="132" t="s">
        <v>5</v>
      </c>
      <c r="F419" s="96">
        <v>43886</v>
      </c>
      <c r="G419" s="64"/>
      <c r="H419" s="64"/>
    </row>
    <row r="420" spans="1:8" s="35" customFormat="1" hidden="1" x14ac:dyDescent="0.3">
      <c r="A420" s="33">
        <v>498816</v>
      </c>
      <c r="B420" s="119" t="s">
        <v>2749</v>
      </c>
      <c r="C420" s="130" t="str">
        <f>"870766000435"</f>
        <v>870766000435</v>
      </c>
      <c r="D420" s="100" t="s">
        <v>25</v>
      </c>
      <c r="E420" s="132" t="s">
        <v>5</v>
      </c>
      <c r="F420" s="96">
        <v>43886</v>
      </c>
      <c r="G420" s="64"/>
      <c r="H420" s="64"/>
    </row>
    <row r="421" spans="1:8" s="35" customFormat="1" ht="27.95" hidden="1" x14ac:dyDescent="0.3">
      <c r="A421" s="33">
        <v>13460</v>
      </c>
      <c r="B421" s="119" t="s">
        <v>2744</v>
      </c>
      <c r="C421" s="131" t="str">
        <f>"627987037968"</f>
        <v>627987037968</v>
      </c>
      <c r="D421" s="100" t="s">
        <v>25</v>
      </c>
      <c r="E421" s="132" t="s">
        <v>2745</v>
      </c>
      <c r="F421" s="96" t="s">
        <v>860</v>
      </c>
      <c r="G421" s="64"/>
      <c r="H421" s="64"/>
    </row>
    <row r="422" spans="1:8" s="35" customFormat="1" hidden="1" x14ac:dyDescent="0.3">
      <c r="A422" s="33">
        <v>541110</v>
      </c>
      <c r="B422" s="119" t="s">
        <v>2743</v>
      </c>
      <c r="C422" s="131">
        <v>183103000839</v>
      </c>
      <c r="D422" s="100" t="s">
        <v>1115</v>
      </c>
      <c r="E422" s="132" t="s">
        <v>5</v>
      </c>
      <c r="F422" s="96" t="s">
        <v>860</v>
      </c>
      <c r="G422" s="64"/>
      <c r="H422" s="64"/>
    </row>
    <row r="423" spans="1:8" s="35" customFormat="1" hidden="1" x14ac:dyDescent="0.3">
      <c r="A423" s="33">
        <v>527291</v>
      </c>
      <c r="B423" s="119" t="s">
        <v>2742</v>
      </c>
      <c r="C423" s="133">
        <v>8410113003904</v>
      </c>
      <c r="D423" s="100" t="s">
        <v>1115</v>
      </c>
      <c r="E423" s="132" t="s">
        <v>5</v>
      </c>
      <c r="F423" s="96" t="s">
        <v>860</v>
      </c>
      <c r="G423" s="64"/>
      <c r="H423" s="64"/>
    </row>
    <row r="424" spans="1:8" s="35" customFormat="1" ht="27.95" hidden="1" x14ac:dyDescent="0.3">
      <c r="A424" s="33">
        <v>498071</v>
      </c>
      <c r="B424" s="119" t="s">
        <v>2741</v>
      </c>
      <c r="C424" s="133">
        <v>874537022145</v>
      </c>
      <c r="D424" s="100" t="s">
        <v>1115</v>
      </c>
      <c r="E424" s="132" t="s">
        <v>2740</v>
      </c>
      <c r="F424" s="96">
        <v>43885</v>
      </c>
      <c r="G424" s="64"/>
      <c r="H424" s="64"/>
    </row>
    <row r="425" spans="1:8" s="35" customFormat="1" hidden="1" x14ac:dyDescent="0.3">
      <c r="A425" s="33">
        <v>216044</v>
      </c>
      <c r="B425" s="119" t="s">
        <v>2732</v>
      </c>
      <c r="C425" s="133">
        <v>777081710226</v>
      </c>
      <c r="D425" s="100" t="s">
        <v>202</v>
      </c>
      <c r="E425" s="132" t="s">
        <v>5</v>
      </c>
      <c r="F425" s="96">
        <v>43880</v>
      </c>
      <c r="G425" s="64"/>
      <c r="H425" s="64"/>
    </row>
    <row r="426" spans="1:8" s="35" customFormat="1" hidden="1" x14ac:dyDescent="0.3">
      <c r="A426" s="33" t="str">
        <f>"0518274"</f>
        <v>0518274</v>
      </c>
      <c r="B426" s="119" t="s">
        <v>1058</v>
      </c>
      <c r="C426" s="133" t="str">
        <f>"628669062032"</f>
        <v>628669062032</v>
      </c>
      <c r="D426" s="100" t="s">
        <v>25</v>
      </c>
      <c r="E426" s="132" t="s">
        <v>5</v>
      </c>
      <c r="F426" s="96">
        <v>43880</v>
      </c>
      <c r="G426" s="64"/>
      <c r="H426" s="64"/>
    </row>
    <row r="427" spans="1:8" s="35" customFormat="1" hidden="1" x14ac:dyDescent="0.3">
      <c r="A427" s="33" t="str">
        <f>"0012858"</f>
        <v>0012858</v>
      </c>
      <c r="B427" s="119" t="s">
        <v>2738</v>
      </c>
      <c r="C427" s="133" t="str">
        <f>"620707101741"</f>
        <v>620707101741</v>
      </c>
      <c r="D427" s="100" t="s">
        <v>25</v>
      </c>
      <c r="E427" s="132" t="s">
        <v>2739</v>
      </c>
      <c r="F427" s="96" t="s">
        <v>860</v>
      </c>
      <c r="G427" s="64"/>
      <c r="H427" s="64"/>
    </row>
    <row r="428" spans="1:8" s="35" customFormat="1" hidden="1" x14ac:dyDescent="0.3">
      <c r="A428" s="110">
        <v>524876</v>
      </c>
      <c r="B428" s="119" t="s">
        <v>2733</v>
      </c>
      <c r="C428" s="117" t="str">
        <f>"830803000088"</f>
        <v>830803000088</v>
      </c>
      <c r="D428" s="100" t="s">
        <v>25</v>
      </c>
      <c r="E428" s="132" t="s">
        <v>5</v>
      </c>
      <c r="F428" s="96" t="s">
        <v>860</v>
      </c>
      <c r="G428" s="64"/>
      <c r="H428" s="64"/>
    </row>
    <row r="429" spans="1:8" s="35" customFormat="1" hidden="1" x14ac:dyDescent="0.3">
      <c r="A429" s="110">
        <v>77974</v>
      </c>
      <c r="B429" s="119" t="s">
        <v>2734</v>
      </c>
      <c r="C429" s="117" t="str">
        <f>"6903102101511"</f>
        <v>6903102101511</v>
      </c>
      <c r="D429" s="100" t="s">
        <v>29</v>
      </c>
      <c r="E429" s="132" t="s">
        <v>5</v>
      </c>
      <c r="F429" s="96" t="s">
        <v>860</v>
      </c>
      <c r="G429" s="64"/>
      <c r="H429" s="64"/>
    </row>
    <row r="430" spans="1:8" hidden="1" x14ac:dyDescent="0.3">
      <c r="A430" s="19">
        <v>326256</v>
      </c>
      <c r="B430" s="10" t="s">
        <v>2731</v>
      </c>
      <c r="C430" s="122">
        <v>627167099533</v>
      </c>
      <c r="D430" s="19" t="s">
        <v>202</v>
      </c>
      <c r="E430" s="10" t="s">
        <v>2730</v>
      </c>
      <c r="F430" s="96" t="s">
        <v>860</v>
      </c>
    </row>
    <row r="431" spans="1:8" s="35" customFormat="1" hidden="1" x14ac:dyDescent="0.3">
      <c r="A431" s="110">
        <v>13904</v>
      </c>
      <c r="B431" s="119" t="s">
        <v>2729</v>
      </c>
      <c r="C431" s="117">
        <v>779376500611</v>
      </c>
      <c r="D431" s="100" t="s">
        <v>202</v>
      </c>
      <c r="E431" s="138" t="s">
        <v>2728</v>
      </c>
      <c r="F431" s="96" t="s">
        <v>860</v>
      </c>
      <c r="G431" s="64"/>
      <c r="H431" s="64"/>
    </row>
    <row r="432" spans="1:8" s="35" customFormat="1" hidden="1" x14ac:dyDescent="0.3">
      <c r="A432" s="110">
        <v>563247</v>
      </c>
      <c r="B432" s="119" t="s">
        <v>2727</v>
      </c>
      <c r="C432" s="117">
        <v>727530559418</v>
      </c>
      <c r="D432" s="100" t="s">
        <v>137</v>
      </c>
      <c r="E432" s="132" t="s">
        <v>2726</v>
      </c>
      <c r="F432" s="96" t="s">
        <v>860</v>
      </c>
    </row>
    <row r="433" spans="1:6" s="35" customFormat="1" hidden="1" x14ac:dyDescent="0.3">
      <c r="A433" s="110">
        <v>350520</v>
      </c>
      <c r="B433" s="119" t="s">
        <v>2724</v>
      </c>
      <c r="C433" s="117">
        <v>7804300136475</v>
      </c>
      <c r="D433" s="100" t="s">
        <v>202</v>
      </c>
      <c r="E433" s="132" t="s">
        <v>5</v>
      </c>
      <c r="F433" s="96">
        <v>43872</v>
      </c>
    </row>
    <row r="434" spans="1:6" s="35" customFormat="1" hidden="1" x14ac:dyDescent="0.3">
      <c r="A434" s="110">
        <v>460667</v>
      </c>
      <c r="B434" s="119" t="s">
        <v>2725</v>
      </c>
      <c r="C434" s="117">
        <v>9311789004693</v>
      </c>
      <c r="D434" s="100" t="s">
        <v>202</v>
      </c>
      <c r="E434" s="132" t="s">
        <v>5</v>
      </c>
      <c r="F434" s="96">
        <v>43872</v>
      </c>
    </row>
    <row r="435" spans="1:6" s="35" customFormat="1" hidden="1" x14ac:dyDescent="0.3">
      <c r="A435" s="110" t="str">
        <f>"0605469"</f>
        <v>0605469</v>
      </c>
      <c r="B435" s="119" t="s">
        <v>2701</v>
      </c>
      <c r="C435" s="117" t="str">
        <f>"812339000732"</f>
        <v>812339000732</v>
      </c>
      <c r="D435" s="100" t="s">
        <v>2702</v>
      </c>
      <c r="E435" s="132" t="s">
        <v>5</v>
      </c>
      <c r="F435" s="96" t="s">
        <v>860</v>
      </c>
    </row>
    <row r="436" spans="1:6" s="35" customFormat="1" hidden="1" x14ac:dyDescent="0.3">
      <c r="A436" s="110" t="str">
        <f>"0609040"</f>
        <v>0609040</v>
      </c>
      <c r="B436" s="119" t="s">
        <v>2703</v>
      </c>
      <c r="C436" s="117" t="str">
        <f>"056910605149"</f>
        <v>056910605149</v>
      </c>
      <c r="D436" s="100" t="s">
        <v>127</v>
      </c>
      <c r="E436" s="132" t="s">
        <v>5</v>
      </c>
      <c r="F436" s="96" t="s">
        <v>860</v>
      </c>
    </row>
    <row r="437" spans="1:6" s="35" customFormat="1" hidden="1" x14ac:dyDescent="0.3">
      <c r="A437" s="110" t="str">
        <f>"0619387"</f>
        <v>0619387</v>
      </c>
      <c r="B437" s="119" t="s">
        <v>2706</v>
      </c>
      <c r="C437" s="117" t="str">
        <f>"856217000339"</f>
        <v>856217000339</v>
      </c>
      <c r="D437" s="100" t="s">
        <v>449</v>
      </c>
      <c r="E437" s="132" t="s">
        <v>5</v>
      </c>
      <c r="F437" s="96" t="s">
        <v>860</v>
      </c>
    </row>
    <row r="438" spans="1:6" s="35" customFormat="1" hidden="1" x14ac:dyDescent="0.3">
      <c r="A438" s="110" t="str">
        <f>"0119370"</f>
        <v>0119370</v>
      </c>
      <c r="B438" s="119" t="s">
        <v>2708</v>
      </c>
      <c r="C438" s="117" t="str">
        <f>"746546000387"</f>
        <v>746546000387</v>
      </c>
      <c r="D438" s="100" t="s">
        <v>37</v>
      </c>
      <c r="E438" s="132" t="s">
        <v>5</v>
      </c>
      <c r="F438" s="96" t="s">
        <v>860</v>
      </c>
    </row>
    <row r="439" spans="1:6" s="35" customFormat="1" ht="15.05" hidden="1" customHeight="1" x14ac:dyDescent="0.3">
      <c r="A439" s="110" t="str">
        <f>"0013814"</f>
        <v>0013814</v>
      </c>
      <c r="B439" s="119" t="s">
        <v>2709</v>
      </c>
      <c r="C439" s="117" t="str">
        <f>"628055427124"</f>
        <v>628055427124</v>
      </c>
      <c r="D439" s="100" t="s">
        <v>124</v>
      </c>
      <c r="E439" s="132" t="s">
        <v>2710</v>
      </c>
      <c r="F439" s="96" t="s">
        <v>860</v>
      </c>
    </row>
    <row r="440" spans="1:6" s="35" customFormat="1" ht="15.75" hidden="1" customHeight="1" x14ac:dyDescent="0.3">
      <c r="A440" s="110">
        <v>522300</v>
      </c>
      <c r="B440" s="119" t="s">
        <v>2716</v>
      </c>
      <c r="C440" s="117" t="s">
        <v>2717</v>
      </c>
      <c r="D440" s="100" t="s">
        <v>25</v>
      </c>
      <c r="E440" s="132" t="s">
        <v>5</v>
      </c>
      <c r="F440" s="96" t="s">
        <v>860</v>
      </c>
    </row>
    <row r="441" spans="1:6" s="35" customFormat="1" ht="15.05" hidden="1" customHeight="1" x14ac:dyDescent="0.3">
      <c r="A441" s="110">
        <v>576884</v>
      </c>
      <c r="B441" s="119" t="s">
        <v>2718</v>
      </c>
      <c r="C441" s="117" t="s">
        <v>2719</v>
      </c>
      <c r="D441" s="100" t="s">
        <v>25</v>
      </c>
      <c r="E441" s="132" t="s">
        <v>5</v>
      </c>
      <c r="F441" s="96" t="s">
        <v>860</v>
      </c>
    </row>
    <row r="442" spans="1:6" s="35" customFormat="1" ht="15.05" hidden="1" customHeight="1" x14ac:dyDescent="0.3">
      <c r="A442" s="110" t="str">
        <f>"0497701"</f>
        <v>0497701</v>
      </c>
      <c r="B442" s="119" t="s">
        <v>2720</v>
      </c>
      <c r="C442" s="117" t="str">
        <f>"628055606116"</f>
        <v>628055606116</v>
      </c>
      <c r="D442" s="100" t="s">
        <v>25</v>
      </c>
      <c r="E442" s="132" t="s">
        <v>5</v>
      </c>
      <c r="F442" s="96">
        <v>43872</v>
      </c>
    </row>
    <row r="443" spans="1:6" s="35" customFormat="1" ht="15.05" hidden="1" customHeight="1" x14ac:dyDescent="0.3">
      <c r="A443" s="110">
        <v>498725</v>
      </c>
      <c r="B443" s="119" t="s">
        <v>2714</v>
      </c>
      <c r="C443" s="117" t="s">
        <v>2715</v>
      </c>
      <c r="D443" s="100" t="s">
        <v>25</v>
      </c>
      <c r="E443" s="132" t="s">
        <v>5</v>
      </c>
      <c r="F443" s="96">
        <v>43872</v>
      </c>
    </row>
    <row r="444" spans="1:6" s="35" customFormat="1" hidden="1" x14ac:dyDescent="0.3">
      <c r="A444" s="110" t="str">
        <f>"0571208"</f>
        <v>0571208</v>
      </c>
      <c r="B444" s="119" t="s">
        <v>2711</v>
      </c>
      <c r="C444" s="117" t="str">
        <f>"628110522016"</f>
        <v>628110522016</v>
      </c>
      <c r="D444" s="100" t="s">
        <v>25</v>
      </c>
      <c r="E444" s="132" t="s">
        <v>2712</v>
      </c>
      <c r="F444" s="96">
        <v>43872</v>
      </c>
    </row>
    <row r="445" spans="1:6" s="35" customFormat="1" hidden="1" x14ac:dyDescent="0.3">
      <c r="A445" s="110" t="str">
        <f>"0011443"</f>
        <v>0011443</v>
      </c>
      <c r="B445" s="119" t="s">
        <v>2704</v>
      </c>
      <c r="C445" s="117" t="str">
        <f>"628451784227"</f>
        <v>628451784227</v>
      </c>
      <c r="D445" s="100" t="s">
        <v>124</v>
      </c>
      <c r="E445" s="132" t="s">
        <v>5</v>
      </c>
      <c r="F445" s="96">
        <v>43872</v>
      </c>
    </row>
    <row r="446" spans="1:6" s="35" customFormat="1" hidden="1" x14ac:dyDescent="0.3">
      <c r="A446" s="110" t="str">
        <f>"0272179"</f>
        <v>0272179</v>
      </c>
      <c r="B446" s="119" t="s">
        <v>2705</v>
      </c>
      <c r="C446" s="117" t="str">
        <f>"786150000670"</f>
        <v>786150000670</v>
      </c>
      <c r="D446" s="100" t="s">
        <v>202</v>
      </c>
      <c r="E446" s="132" t="s">
        <v>5</v>
      </c>
      <c r="F446" s="96">
        <v>43872</v>
      </c>
    </row>
    <row r="447" spans="1:6" s="35" customFormat="1" hidden="1" x14ac:dyDescent="0.3">
      <c r="A447" s="110" t="str">
        <f>"0577296"</f>
        <v>0577296</v>
      </c>
      <c r="B447" s="119" t="s">
        <v>2707</v>
      </c>
      <c r="C447" s="117" t="str">
        <f>"0406660611301"</f>
        <v>0406660611301</v>
      </c>
      <c r="D447" s="100" t="s">
        <v>29</v>
      </c>
      <c r="E447" s="132" t="s">
        <v>5</v>
      </c>
      <c r="F447" s="96">
        <v>43872</v>
      </c>
    </row>
    <row r="448" spans="1:6" s="35" customFormat="1" hidden="1" x14ac:dyDescent="0.3">
      <c r="A448" s="110" t="str">
        <f>"0010029"</f>
        <v>0010029</v>
      </c>
      <c r="B448" s="119" t="s">
        <v>2713</v>
      </c>
      <c r="C448" s="117" t="str">
        <f>"727530560827"</f>
        <v>727530560827</v>
      </c>
      <c r="D448" s="100" t="s">
        <v>25</v>
      </c>
      <c r="E448" s="132" t="s">
        <v>5</v>
      </c>
      <c r="F448" s="96">
        <v>43872</v>
      </c>
    </row>
    <row r="449" spans="1:6" s="35" customFormat="1" hidden="1" x14ac:dyDescent="0.3">
      <c r="A449" s="110" t="str">
        <f>"0124024"</f>
        <v>0124024</v>
      </c>
      <c r="B449" s="119" t="s">
        <v>2723</v>
      </c>
      <c r="C449" s="117" t="str">
        <f>"048162015678"</f>
        <v>048162015678</v>
      </c>
      <c r="D449" s="100" t="s">
        <v>48</v>
      </c>
      <c r="E449" s="132" t="s">
        <v>5</v>
      </c>
      <c r="F449" s="96">
        <v>43872</v>
      </c>
    </row>
    <row r="450" spans="1:6" s="35" customFormat="1" ht="41.95" hidden="1" x14ac:dyDescent="0.3">
      <c r="A450" s="110">
        <v>422550</v>
      </c>
      <c r="B450" s="119" t="s">
        <v>2686</v>
      </c>
      <c r="C450" s="134">
        <v>71990000073</v>
      </c>
      <c r="D450" s="100" t="s">
        <v>37</v>
      </c>
      <c r="E450" s="132" t="s">
        <v>2722</v>
      </c>
      <c r="F450" s="96">
        <v>43872</v>
      </c>
    </row>
    <row r="451" spans="1:6" s="35" customFormat="1" ht="41.95" hidden="1" x14ac:dyDescent="0.3">
      <c r="A451" s="110">
        <v>363085</v>
      </c>
      <c r="B451" s="119" t="s">
        <v>2686</v>
      </c>
      <c r="C451" s="134">
        <v>71990100025</v>
      </c>
      <c r="D451" s="100" t="s">
        <v>25</v>
      </c>
      <c r="E451" s="132" t="s">
        <v>2721</v>
      </c>
      <c r="F451" s="96">
        <v>43872</v>
      </c>
    </row>
    <row r="452" spans="1:6" s="35" customFormat="1" ht="55.9" hidden="1" x14ac:dyDescent="0.3">
      <c r="A452" s="110">
        <v>634568</v>
      </c>
      <c r="B452" s="119" t="s">
        <v>2686</v>
      </c>
      <c r="C452" s="134">
        <v>71990386443</v>
      </c>
      <c r="D452" s="100" t="s">
        <v>98</v>
      </c>
      <c r="E452" s="132" t="s">
        <v>2735</v>
      </c>
      <c r="F452" s="96">
        <v>43866</v>
      </c>
    </row>
    <row r="453" spans="1:6" s="35" customFormat="1" hidden="1" x14ac:dyDescent="0.3">
      <c r="A453" s="50" t="s">
        <v>2698</v>
      </c>
      <c r="B453" s="119" t="s">
        <v>2697</v>
      </c>
      <c r="C453" s="120" t="s">
        <v>2699</v>
      </c>
      <c r="D453" s="100" t="s">
        <v>455</v>
      </c>
      <c r="E453" s="42" t="s">
        <v>2700</v>
      </c>
      <c r="F453" s="96" t="s">
        <v>860</v>
      </c>
    </row>
    <row r="454" spans="1:6" s="35" customFormat="1" hidden="1" x14ac:dyDescent="0.3">
      <c r="A454" s="33">
        <v>269720</v>
      </c>
      <c r="B454" s="119" t="s">
        <v>2694</v>
      </c>
      <c r="C454" s="120" t="s">
        <v>2695</v>
      </c>
      <c r="D454" s="100" t="s">
        <v>202</v>
      </c>
      <c r="E454" s="137" t="s">
        <v>2696</v>
      </c>
      <c r="F454" s="96">
        <v>43845</v>
      </c>
    </row>
    <row r="455" spans="1:6" hidden="1" x14ac:dyDescent="0.3">
      <c r="A455" s="85">
        <v>12284</v>
      </c>
      <c r="B455" s="119" t="s">
        <v>2690</v>
      </c>
      <c r="C455" s="133">
        <v>602573829615</v>
      </c>
      <c r="D455" s="100" t="s">
        <v>2691</v>
      </c>
      <c r="E455" s="132" t="s">
        <v>5</v>
      </c>
      <c r="F455" s="96" t="s">
        <v>860</v>
      </c>
    </row>
    <row r="456" spans="1:6" s="35" customFormat="1" hidden="1" x14ac:dyDescent="0.3">
      <c r="A456" s="33">
        <v>493304</v>
      </c>
      <c r="B456" s="119" t="s">
        <v>2687</v>
      </c>
      <c r="C456" s="133">
        <v>628055195009</v>
      </c>
      <c r="D456" s="100" t="s">
        <v>1301</v>
      </c>
      <c r="E456" s="132" t="s">
        <v>5</v>
      </c>
      <c r="F456" s="96" t="s">
        <v>860</v>
      </c>
    </row>
    <row r="457" spans="1:6" s="35" customFormat="1" hidden="1" x14ac:dyDescent="0.3">
      <c r="A457" s="110">
        <v>457119</v>
      </c>
      <c r="B457" s="119" t="s">
        <v>757</v>
      </c>
      <c r="C457" s="117">
        <v>6002323018537</v>
      </c>
      <c r="D457" s="100" t="s">
        <v>202</v>
      </c>
      <c r="E457" s="132" t="s">
        <v>5</v>
      </c>
      <c r="F457" s="96" t="s">
        <v>860</v>
      </c>
    </row>
    <row r="458" spans="1:6" s="35" customFormat="1" hidden="1" x14ac:dyDescent="0.3">
      <c r="A458" s="110">
        <v>449082</v>
      </c>
      <c r="B458" s="119" t="s">
        <v>2688</v>
      </c>
      <c r="C458" s="117" t="str">
        <f>"625640226735"</f>
        <v>625640226735</v>
      </c>
      <c r="D458" s="100" t="s">
        <v>124</v>
      </c>
      <c r="E458" s="132" t="s">
        <v>5</v>
      </c>
      <c r="F458" s="96">
        <v>43858</v>
      </c>
    </row>
    <row r="459" spans="1:6" s="35" customFormat="1" hidden="1" x14ac:dyDescent="0.3">
      <c r="A459" s="110">
        <v>449090</v>
      </c>
      <c r="B459" s="119" t="s">
        <v>2689</v>
      </c>
      <c r="C459" s="117" t="str">
        <f>"625640047347"</f>
        <v>625640047347</v>
      </c>
      <c r="D459" s="100" t="s">
        <v>124</v>
      </c>
      <c r="E459" s="132" t="s">
        <v>5</v>
      </c>
      <c r="F459" s="96">
        <v>43858</v>
      </c>
    </row>
    <row r="460" spans="1:6" s="35" customFormat="1" hidden="1" x14ac:dyDescent="0.3">
      <c r="A460" s="110">
        <f>461798</f>
        <v>461798</v>
      </c>
      <c r="B460" s="119" t="s">
        <v>2692</v>
      </c>
      <c r="C460" s="117" t="str">
        <f>"870766000077"</f>
        <v>870766000077</v>
      </c>
      <c r="D460" s="100" t="s">
        <v>25</v>
      </c>
      <c r="E460" s="132" t="s">
        <v>5</v>
      </c>
      <c r="F460" s="96">
        <v>43858</v>
      </c>
    </row>
    <row r="461" spans="1:6" s="35" customFormat="1" hidden="1" x14ac:dyDescent="0.3">
      <c r="A461" s="110">
        <v>491639</v>
      </c>
      <c r="B461" s="119" t="s">
        <v>2693</v>
      </c>
      <c r="C461" s="117" t="str">
        <f>"5035766060352"</f>
        <v>5035766060352</v>
      </c>
      <c r="D461" s="100" t="s">
        <v>60</v>
      </c>
      <c r="E461" s="132" t="s">
        <v>5</v>
      </c>
      <c r="F461" s="96">
        <v>43858</v>
      </c>
    </row>
    <row r="462" spans="1:6" s="35" customFormat="1" hidden="1" x14ac:dyDescent="0.3">
      <c r="A462" s="85"/>
      <c r="B462" s="119"/>
      <c r="C462" s="133"/>
      <c r="D462" s="100"/>
      <c r="E462" s="132"/>
      <c r="F462" s="96"/>
    </row>
    <row r="463" spans="1:6" s="35" customFormat="1" hidden="1" x14ac:dyDescent="0.3">
      <c r="A463" s="110"/>
      <c r="B463" s="119"/>
      <c r="C463" s="133"/>
      <c r="D463" s="100"/>
      <c r="E463" s="132"/>
      <c r="F463" s="96"/>
    </row>
    <row r="464" spans="1:6" s="35" customFormat="1" hidden="1" x14ac:dyDescent="0.3">
      <c r="A464" s="110"/>
      <c r="B464" s="119"/>
      <c r="C464" s="133"/>
      <c r="D464" s="100"/>
      <c r="E464" s="132"/>
      <c r="F464" s="96"/>
    </row>
    <row r="465" spans="1:6" s="35" customFormat="1" hidden="1" x14ac:dyDescent="0.3">
      <c r="A465" s="110"/>
      <c r="B465" s="119"/>
      <c r="C465" s="133"/>
      <c r="D465" s="100"/>
      <c r="E465" s="132"/>
      <c r="F465" s="96"/>
    </row>
    <row r="466" spans="1:6" s="35" customFormat="1" hidden="1" x14ac:dyDescent="0.3">
      <c r="A466" s="33"/>
      <c r="B466" s="119"/>
      <c r="C466" s="133"/>
      <c r="D466" s="100"/>
      <c r="E466" s="55"/>
      <c r="F466" s="96"/>
    </row>
    <row r="467" spans="1:6" s="35" customFormat="1" hidden="1" x14ac:dyDescent="0.3">
      <c r="A467" s="33"/>
      <c r="B467" s="119"/>
      <c r="C467" s="133"/>
      <c r="D467" s="100"/>
      <c r="E467" s="132"/>
      <c r="F467" s="96"/>
    </row>
    <row r="468" spans="1:6" s="136" customFormat="1" hidden="1" x14ac:dyDescent="0.3">
      <c r="A468" s="85"/>
      <c r="B468" s="119"/>
      <c r="C468" s="100"/>
      <c r="D468" s="100"/>
      <c r="E468" s="132"/>
      <c r="F468" s="96"/>
    </row>
    <row r="469" spans="1:6" s="136" customFormat="1" hidden="1" x14ac:dyDescent="0.3">
      <c r="A469" s="85"/>
      <c r="B469" s="119"/>
      <c r="C469" s="100"/>
      <c r="D469" s="100"/>
      <c r="E469" s="132"/>
      <c r="F469" s="96"/>
    </row>
    <row r="470" spans="1:6" s="136" customFormat="1" hidden="1" x14ac:dyDescent="0.3">
      <c r="A470" s="85"/>
      <c r="B470" s="119"/>
      <c r="C470" s="100"/>
      <c r="D470" s="100"/>
      <c r="E470" s="132"/>
      <c r="F470" s="96"/>
    </row>
    <row r="471" spans="1:6" s="97" customFormat="1" hidden="1" x14ac:dyDescent="0.3">
      <c r="A471" s="85"/>
      <c r="B471" s="119"/>
      <c r="C471" s="100"/>
      <c r="D471" s="100"/>
      <c r="E471" s="132"/>
      <c r="F471" s="96"/>
    </row>
    <row r="472" spans="1:6" s="97" customFormat="1" hidden="1" x14ac:dyDescent="0.3">
      <c r="A472" s="85"/>
      <c r="B472" s="119"/>
      <c r="C472" s="95"/>
      <c r="D472" s="100"/>
      <c r="E472" s="132"/>
      <c r="F472" s="96"/>
    </row>
    <row r="473" spans="1:6" s="35" customFormat="1" hidden="1" x14ac:dyDescent="0.3">
      <c r="A473" s="33"/>
      <c r="B473" s="119"/>
      <c r="C473" s="133"/>
      <c r="D473" s="100"/>
      <c r="E473" s="55"/>
      <c r="F473" s="96"/>
    </row>
    <row r="474" spans="1:6" s="35" customFormat="1" hidden="1" x14ac:dyDescent="0.3">
      <c r="A474" s="33"/>
      <c r="B474" s="119"/>
      <c r="C474" s="133"/>
      <c r="D474" s="100"/>
      <c r="E474" s="55"/>
      <c r="F474" s="96"/>
    </row>
    <row r="475" spans="1:6" s="35" customFormat="1" hidden="1" x14ac:dyDescent="0.3">
      <c r="A475" s="33"/>
      <c r="B475" s="119"/>
      <c r="C475" s="133"/>
      <c r="D475" s="100"/>
      <c r="E475" s="55"/>
      <c r="F475" s="96"/>
    </row>
    <row r="476" spans="1:6" s="35" customFormat="1" hidden="1" x14ac:dyDescent="0.3">
      <c r="A476" s="33"/>
      <c r="B476" s="119"/>
      <c r="C476" s="133"/>
      <c r="D476" s="100"/>
      <c r="E476" s="55"/>
      <c r="F476" s="96"/>
    </row>
    <row r="477" spans="1:6" hidden="1" x14ac:dyDescent="0.3">
      <c r="A477" s="85"/>
      <c r="B477" s="119"/>
      <c r="C477" s="133"/>
      <c r="D477" s="100"/>
      <c r="E477" s="132"/>
      <c r="F477" s="96"/>
    </row>
    <row r="478" spans="1:6" hidden="1" x14ac:dyDescent="0.3">
      <c r="A478" s="85"/>
      <c r="B478" s="119"/>
      <c r="C478" s="133"/>
      <c r="D478" s="100"/>
      <c r="E478" s="132"/>
      <c r="F478" s="96"/>
    </row>
    <row r="479" spans="1:6" hidden="1" x14ac:dyDescent="0.3">
      <c r="A479" s="85"/>
      <c r="B479" s="119"/>
      <c r="C479" s="133"/>
      <c r="D479" s="100"/>
      <c r="E479" s="132"/>
      <c r="F479" s="96"/>
    </row>
    <row r="480" spans="1:6" hidden="1" x14ac:dyDescent="0.3">
      <c r="A480" s="85"/>
      <c r="B480" s="119"/>
      <c r="C480" s="133"/>
      <c r="D480" s="100"/>
      <c r="E480" s="132"/>
      <c r="F480" s="96"/>
    </row>
    <row r="481" spans="1:6" hidden="1" x14ac:dyDescent="0.3">
      <c r="A481" s="33"/>
      <c r="B481" s="119"/>
      <c r="C481" s="133"/>
      <c r="D481" s="100"/>
      <c r="E481" s="135"/>
      <c r="F481" s="96"/>
    </row>
    <row r="482" spans="1:6" hidden="1" x14ac:dyDescent="0.3">
      <c r="A482" s="33"/>
      <c r="B482" s="119"/>
      <c r="C482" s="133"/>
      <c r="D482" s="100"/>
      <c r="E482" s="135"/>
      <c r="F482" s="96"/>
    </row>
    <row r="483" spans="1:6" hidden="1" x14ac:dyDescent="0.3">
      <c r="A483" s="85"/>
      <c r="B483" s="119"/>
      <c r="C483" s="133"/>
      <c r="D483" s="100"/>
      <c r="E483" s="135"/>
      <c r="F483" s="96"/>
    </row>
    <row r="484" spans="1:6" hidden="1" x14ac:dyDescent="0.3">
      <c r="A484" s="19"/>
      <c r="B484" s="10"/>
      <c r="C484" s="122"/>
      <c r="D484" s="19"/>
      <c r="E484" s="55"/>
      <c r="F484" s="96"/>
    </row>
    <row r="485" spans="1:6" hidden="1" x14ac:dyDescent="0.3">
      <c r="A485" s="19"/>
      <c r="B485" s="10"/>
      <c r="C485" s="130"/>
      <c r="D485" s="19"/>
      <c r="E485" s="55"/>
      <c r="F485" s="96"/>
    </row>
    <row r="486" spans="1:6" hidden="1" x14ac:dyDescent="0.3">
      <c r="A486" s="19"/>
      <c r="B486" s="10"/>
      <c r="C486" s="130"/>
      <c r="D486" s="19"/>
      <c r="E486" s="55"/>
      <c r="F486" s="96"/>
    </row>
    <row r="487" spans="1:6" s="35" customFormat="1" hidden="1" x14ac:dyDescent="0.3">
      <c r="A487" s="85"/>
      <c r="B487" s="119"/>
      <c r="C487" s="100"/>
      <c r="D487" s="100"/>
      <c r="E487" s="42"/>
      <c r="F487" s="96"/>
    </row>
    <row r="488" spans="1:6" hidden="1" x14ac:dyDescent="0.3">
      <c r="A488" s="19"/>
      <c r="B488" s="10"/>
      <c r="C488" s="130"/>
      <c r="D488" s="19"/>
      <c r="E488" s="55"/>
      <c r="F488" s="96"/>
    </row>
    <row r="489" spans="1:6" s="35" customFormat="1" hidden="1" x14ac:dyDescent="0.3">
      <c r="A489" s="85"/>
      <c r="B489" s="119"/>
      <c r="C489" s="100"/>
      <c r="D489" s="100"/>
      <c r="E489" s="42"/>
      <c r="F489" s="96"/>
    </row>
    <row r="490" spans="1:6" s="35" customFormat="1" hidden="1" x14ac:dyDescent="0.3">
      <c r="A490" s="85"/>
      <c r="B490" s="119"/>
      <c r="C490" s="100"/>
      <c r="D490" s="100"/>
      <c r="E490" s="42"/>
      <c r="F490" s="96"/>
    </row>
    <row r="491" spans="1:6" s="35" customFormat="1" hidden="1" x14ac:dyDescent="0.3">
      <c r="A491" s="85"/>
      <c r="B491" s="119"/>
      <c r="C491" s="100"/>
      <c r="D491" s="100"/>
      <c r="E491" s="42"/>
      <c r="F491" s="96"/>
    </row>
    <row r="492" spans="1:6" s="35" customFormat="1" hidden="1" x14ac:dyDescent="0.3">
      <c r="A492" s="85"/>
      <c r="B492" s="119"/>
      <c r="C492" s="100"/>
      <c r="D492" s="100"/>
      <c r="E492" s="42"/>
      <c r="F492" s="96"/>
    </row>
    <row r="493" spans="1:6" s="35" customFormat="1" hidden="1" x14ac:dyDescent="0.3">
      <c r="A493" s="85"/>
      <c r="B493" s="119"/>
      <c r="C493" s="100"/>
      <c r="D493" s="100"/>
      <c r="E493" s="42"/>
      <c r="F493" s="96"/>
    </row>
    <row r="494" spans="1:6" s="35" customFormat="1" hidden="1" x14ac:dyDescent="0.3">
      <c r="A494" s="85"/>
      <c r="B494" s="119"/>
      <c r="C494" s="100"/>
      <c r="D494" s="100"/>
      <c r="E494" s="42"/>
      <c r="F494" s="96"/>
    </row>
    <row r="495" spans="1:6" s="35" customFormat="1" hidden="1" x14ac:dyDescent="0.3">
      <c r="A495" s="85"/>
      <c r="B495" s="119"/>
      <c r="C495" s="100"/>
      <c r="D495" s="100"/>
      <c r="E495" s="42"/>
      <c r="F495" s="96"/>
    </row>
    <row r="496" spans="1:6" s="35" customFormat="1" hidden="1" x14ac:dyDescent="0.3">
      <c r="A496" s="85"/>
      <c r="B496" s="119"/>
      <c r="C496" s="100"/>
      <c r="D496" s="100"/>
      <c r="E496" s="42"/>
      <c r="F496" s="96"/>
    </row>
    <row r="497" spans="1:6" s="35" customFormat="1" hidden="1" x14ac:dyDescent="0.3">
      <c r="A497" s="85"/>
      <c r="B497" s="119"/>
      <c r="C497" s="100"/>
      <c r="D497" s="100"/>
      <c r="E497" s="42"/>
      <c r="F497" s="96"/>
    </row>
    <row r="498" spans="1:6" s="35" customFormat="1" hidden="1" x14ac:dyDescent="0.3">
      <c r="A498" s="85"/>
      <c r="B498" s="119"/>
      <c r="C498" s="133"/>
      <c r="D498" s="100"/>
      <c r="E498" s="42"/>
      <c r="F498" s="96"/>
    </row>
    <row r="499" spans="1:6" s="35" customFormat="1" hidden="1" x14ac:dyDescent="0.3">
      <c r="A499" s="85"/>
      <c r="B499" s="119"/>
      <c r="C499" s="133"/>
      <c r="D499" s="100"/>
      <c r="E499" s="42"/>
      <c r="F499" s="96"/>
    </row>
    <row r="500" spans="1:6" s="35" customFormat="1" hidden="1" x14ac:dyDescent="0.3">
      <c r="A500" s="85"/>
      <c r="B500" s="119"/>
      <c r="C500" s="100"/>
      <c r="D500" s="100"/>
      <c r="E500" s="42"/>
      <c r="F500" s="96"/>
    </row>
    <row r="501" spans="1:6" s="35" customFormat="1" hidden="1" x14ac:dyDescent="0.3">
      <c r="A501" s="85"/>
      <c r="B501" s="119"/>
      <c r="C501" s="100"/>
      <c r="D501" s="100"/>
      <c r="E501" s="42"/>
      <c r="F501" s="96"/>
    </row>
    <row r="502" spans="1:6" s="35" customFormat="1" hidden="1" x14ac:dyDescent="0.3">
      <c r="A502" s="85"/>
      <c r="B502" s="119"/>
      <c r="C502" s="100"/>
      <c r="D502" s="100"/>
      <c r="E502" s="42"/>
      <c r="F502" s="96"/>
    </row>
    <row r="503" spans="1:6" s="35" customFormat="1" hidden="1" x14ac:dyDescent="0.3">
      <c r="A503" s="85"/>
      <c r="B503" s="119"/>
      <c r="C503" s="133"/>
      <c r="D503" s="100"/>
      <c r="E503" s="132"/>
      <c r="F503" s="96"/>
    </row>
    <row r="504" spans="1:6" s="35" customFormat="1" ht="13.7" hidden="1" customHeight="1" x14ac:dyDescent="0.3">
      <c r="A504" s="85"/>
      <c r="B504" s="119"/>
      <c r="C504" s="133"/>
      <c r="D504" s="100"/>
      <c r="E504" s="42"/>
      <c r="F504" s="96"/>
    </row>
    <row r="505" spans="1:6" s="35" customFormat="1" hidden="1" x14ac:dyDescent="0.3">
      <c r="A505" s="85"/>
      <c r="B505" s="119"/>
      <c r="C505" s="133"/>
      <c r="D505" s="100"/>
      <c r="E505" s="42"/>
      <c r="F505" s="96"/>
    </row>
    <row r="506" spans="1:6" hidden="1" x14ac:dyDescent="0.3">
      <c r="A506" s="110"/>
      <c r="B506" s="119"/>
      <c r="C506" s="117"/>
      <c r="D506" s="118"/>
      <c r="E506" s="42"/>
      <c r="F506" s="96"/>
    </row>
    <row r="507" spans="1:6" hidden="1" x14ac:dyDescent="0.3">
      <c r="A507" s="110"/>
      <c r="B507" s="119"/>
      <c r="C507" s="117"/>
      <c r="D507" s="118"/>
      <c r="E507" s="42"/>
      <c r="F507" s="96"/>
    </row>
    <row r="508" spans="1:6" hidden="1" x14ac:dyDescent="0.3">
      <c r="A508" s="110"/>
      <c r="B508" s="119"/>
      <c r="C508" s="117"/>
      <c r="D508" s="118"/>
      <c r="E508" s="42"/>
      <c r="F508" s="96"/>
    </row>
    <row r="509" spans="1:6" hidden="1" x14ac:dyDescent="0.3">
      <c r="A509" s="110"/>
      <c r="B509" s="119"/>
      <c r="C509" s="117"/>
      <c r="D509" s="118"/>
      <c r="E509" s="42"/>
      <c r="F509" s="96"/>
    </row>
    <row r="510" spans="1:6" s="35" customFormat="1" hidden="1" x14ac:dyDescent="0.3">
      <c r="A510" s="110"/>
      <c r="B510" s="119"/>
      <c r="C510" s="134"/>
      <c r="D510" s="118"/>
      <c r="E510" s="42"/>
      <c r="F510" s="96"/>
    </row>
    <row r="511" spans="1:6" s="35" customFormat="1" hidden="1" x14ac:dyDescent="0.3">
      <c r="A511" s="110"/>
      <c r="B511" s="119"/>
      <c r="C511" s="134"/>
      <c r="D511" s="118"/>
      <c r="E511" s="42"/>
      <c r="F511" s="96"/>
    </row>
    <row r="512" spans="1:6" hidden="1" x14ac:dyDescent="0.3">
      <c r="A512" s="85"/>
      <c r="B512" s="119"/>
      <c r="C512" s="133"/>
      <c r="D512" s="100"/>
      <c r="E512" s="132"/>
      <c r="F512" s="96"/>
    </row>
    <row r="513" spans="1:6" hidden="1" x14ac:dyDescent="0.3">
      <c r="A513" s="85"/>
      <c r="B513" s="119"/>
      <c r="C513" s="133"/>
      <c r="D513" s="100"/>
      <c r="E513" s="132"/>
      <c r="F513" s="96"/>
    </row>
    <row r="514" spans="1:6" hidden="1" x14ac:dyDescent="0.3">
      <c r="A514" s="85"/>
      <c r="B514" s="119"/>
      <c r="C514" s="133"/>
      <c r="D514" s="100"/>
      <c r="E514" s="132"/>
      <c r="F514" s="96"/>
    </row>
    <row r="515" spans="1:6" hidden="1" x14ac:dyDescent="0.3">
      <c r="A515" s="128"/>
      <c r="B515" s="129"/>
      <c r="C515" s="117"/>
      <c r="D515" s="118"/>
      <c r="E515" s="55"/>
      <c r="F515" s="96"/>
    </row>
    <row r="516" spans="1:6" hidden="1" x14ac:dyDescent="0.3">
      <c r="A516" s="128"/>
      <c r="B516" s="129"/>
      <c r="C516" s="117"/>
      <c r="D516" s="118"/>
      <c r="E516" s="55"/>
      <c r="F516" s="96"/>
    </row>
    <row r="517" spans="1:6" hidden="1" x14ac:dyDescent="0.3">
      <c r="A517" s="128"/>
      <c r="B517" s="129"/>
      <c r="C517" s="117"/>
      <c r="D517" s="118"/>
      <c r="E517" s="55"/>
      <c r="F517" s="96"/>
    </row>
    <row r="518" spans="1:6" hidden="1" x14ac:dyDescent="0.3">
      <c r="A518" s="19"/>
      <c r="B518" s="10"/>
      <c r="C518" s="130"/>
      <c r="D518" s="19"/>
      <c r="E518" s="42"/>
      <c r="F518" s="96"/>
    </row>
    <row r="519" spans="1:6" hidden="1" x14ac:dyDescent="0.3">
      <c r="A519" s="19"/>
      <c r="B519" s="10"/>
      <c r="C519" s="130"/>
      <c r="D519" s="19"/>
      <c r="E519" s="55"/>
      <c r="F519" s="96"/>
    </row>
    <row r="520" spans="1:6" hidden="1" x14ac:dyDescent="0.3">
      <c r="A520" s="19"/>
      <c r="B520" s="10"/>
      <c r="C520" s="131"/>
      <c r="D520" s="19"/>
      <c r="E520" s="42"/>
      <c r="F520" s="96"/>
    </row>
    <row r="521" spans="1:6" hidden="1" x14ac:dyDescent="0.3">
      <c r="A521" s="19"/>
      <c r="B521" s="10"/>
      <c r="C521" s="130"/>
      <c r="D521" s="19"/>
      <c r="E521" s="55"/>
      <c r="F521" s="96"/>
    </row>
    <row r="522" spans="1:6" hidden="1" x14ac:dyDescent="0.3">
      <c r="A522" s="19"/>
      <c r="B522" s="10"/>
      <c r="C522" s="95"/>
      <c r="D522" s="19"/>
      <c r="E522" s="42"/>
      <c r="F522" s="96"/>
    </row>
    <row r="523" spans="1:6" hidden="1" x14ac:dyDescent="0.3">
      <c r="A523" s="128"/>
      <c r="B523" s="129"/>
      <c r="C523" s="117"/>
      <c r="D523" s="118"/>
      <c r="E523" s="55"/>
      <c r="F523" s="96"/>
    </row>
    <row r="524" spans="1:6" hidden="1" x14ac:dyDescent="0.3">
      <c r="A524" s="33"/>
      <c r="B524" s="119"/>
      <c r="C524" s="117"/>
      <c r="D524" s="118"/>
      <c r="E524" s="42"/>
      <c r="F524" s="96"/>
    </row>
    <row r="525" spans="1:6" hidden="1" x14ac:dyDescent="0.3">
      <c r="A525" s="33"/>
      <c r="B525" s="119"/>
      <c r="C525" s="117"/>
      <c r="D525" s="118"/>
      <c r="E525" s="42"/>
      <c r="F525" s="96"/>
    </row>
    <row r="526" spans="1:6" hidden="1" x14ac:dyDescent="0.3">
      <c r="A526" s="33"/>
      <c r="B526" s="119"/>
      <c r="C526" s="117"/>
      <c r="D526" s="118"/>
      <c r="E526" s="42"/>
      <c r="F526" s="96"/>
    </row>
    <row r="527" spans="1:6" hidden="1" x14ac:dyDescent="0.3">
      <c r="A527" s="33"/>
      <c r="B527" s="119"/>
      <c r="C527" s="117"/>
      <c r="D527" s="118"/>
      <c r="E527" s="42"/>
      <c r="F527" s="96"/>
    </row>
    <row r="528" spans="1:6" hidden="1" x14ac:dyDescent="0.3">
      <c r="A528" s="33"/>
      <c r="B528" s="119"/>
      <c r="C528" s="120"/>
      <c r="D528" s="118"/>
      <c r="E528" s="55"/>
      <c r="F528" s="96"/>
    </row>
    <row r="529" spans="1:6" hidden="1" x14ac:dyDescent="0.3">
      <c r="A529" s="33"/>
      <c r="B529" s="119"/>
      <c r="C529" s="120"/>
      <c r="D529" s="118"/>
      <c r="E529" s="55"/>
      <c r="F529" s="96"/>
    </row>
    <row r="530" spans="1:6" s="35" customFormat="1" hidden="1" x14ac:dyDescent="0.3">
      <c r="A530" s="33"/>
      <c r="B530" s="119"/>
      <c r="C530" s="120"/>
      <c r="D530" s="118"/>
      <c r="E530" s="42"/>
      <c r="F530" s="96"/>
    </row>
    <row r="531" spans="1:6" s="35" customFormat="1" hidden="1" x14ac:dyDescent="0.3">
      <c r="A531" s="33"/>
      <c r="B531" s="119"/>
      <c r="C531" s="120"/>
      <c r="D531" s="118"/>
      <c r="E531" s="42"/>
      <c r="F531" s="96"/>
    </row>
    <row r="532" spans="1:6" s="35" customFormat="1" hidden="1" x14ac:dyDescent="0.3">
      <c r="A532" s="33"/>
      <c r="B532" s="119"/>
      <c r="C532" s="120"/>
      <c r="D532" s="118"/>
      <c r="E532" s="42"/>
      <c r="F532" s="96"/>
    </row>
    <row r="533" spans="1:6" s="35" customFormat="1" hidden="1" x14ac:dyDescent="0.3">
      <c r="A533" s="33"/>
      <c r="B533" s="119"/>
      <c r="C533" s="120"/>
      <c r="D533" s="118"/>
      <c r="E533" s="42"/>
      <c r="F533" s="96"/>
    </row>
    <row r="534" spans="1:6" hidden="1" x14ac:dyDescent="0.3">
      <c r="A534" s="33"/>
      <c r="B534" s="119"/>
      <c r="C534" s="117"/>
      <c r="D534" s="118"/>
      <c r="E534" s="42"/>
      <c r="F534" s="96"/>
    </row>
    <row r="535" spans="1:6" hidden="1" x14ac:dyDescent="0.3">
      <c r="A535" s="33"/>
      <c r="B535" s="119"/>
      <c r="C535" s="117"/>
      <c r="D535" s="118"/>
      <c r="E535" s="42"/>
      <c r="F535" s="96"/>
    </row>
    <row r="536" spans="1:6" hidden="1" x14ac:dyDescent="0.3">
      <c r="A536" s="33"/>
      <c r="B536" s="119"/>
      <c r="C536" s="117"/>
      <c r="D536" s="118"/>
      <c r="E536" s="42"/>
      <c r="F536" s="96"/>
    </row>
    <row r="537" spans="1:6" hidden="1" x14ac:dyDescent="0.3">
      <c r="A537" s="33"/>
      <c r="B537" s="119"/>
      <c r="C537" s="117"/>
      <c r="D537" s="118"/>
      <c r="E537" s="42"/>
      <c r="F537" s="96"/>
    </row>
    <row r="538" spans="1:6" hidden="1" x14ac:dyDescent="0.3">
      <c r="A538" s="33"/>
      <c r="B538" s="119"/>
      <c r="C538" s="117"/>
      <c r="D538" s="118"/>
      <c r="E538" s="42"/>
      <c r="F538" s="96"/>
    </row>
    <row r="539" spans="1:6" hidden="1" x14ac:dyDescent="0.3">
      <c r="A539" s="33"/>
      <c r="B539" s="119"/>
      <c r="C539" s="117"/>
      <c r="D539" s="118"/>
      <c r="E539" s="42"/>
      <c r="F539" s="96"/>
    </row>
    <row r="540" spans="1:6" hidden="1" x14ac:dyDescent="0.3">
      <c r="A540" s="19"/>
      <c r="B540" s="10"/>
      <c r="C540" s="122"/>
      <c r="D540" s="118"/>
      <c r="E540" s="42"/>
      <c r="F540" s="96"/>
    </row>
    <row r="541" spans="1:6" hidden="1" x14ac:dyDescent="0.3">
      <c r="A541" s="33"/>
      <c r="B541" s="119"/>
      <c r="C541" s="117"/>
      <c r="D541" s="118"/>
      <c r="E541" s="42"/>
      <c r="F541" s="96"/>
    </row>
    <row r="542" spans="1:6" hidden="1" x14ac:dyDescent="0.3">
      <c r="A542" s="33"/>
      <c r="B542" s="119"/>
      <c r="C542" s="120"/>
      <c r="D542" s="118"/>
      <c r="E542" s="55"/>
      <c r="F542" s="96"/>
    </row>
    <row r="543" spans="1:6" hidden="1" x14ac:dyDescent="0.3">
      <c r="A543" s="33"/>
      <c r="B543" s="119"/>
      <c r="C543" s="120"/>
      <c r="D543" s="118"/>
      <c r="E543" s="55"/>
      <c r="F543" s="96"/>
    </row>
    <row r="544" spans="1:6" hidden="1" x14ac:dyDescent="0.3">
      <c r="A544" s="33"/>
      <c r="B544" s="119"/>
      <c r="C544" s="120"/>
      <c r="D544" s="118"/>
      <c r="E544" s="55"/>
      <c r="F544" s="96"/>
    </row>
    <row r="545" spans="1:6" hidden="1" x14ac:dyDescent="0.3">
      <c r="A545" s="33"/>
      <c r="B545" s="119"/>
      <c r="C545" s="120"/>
      <c r="D545" s="118"/>
      <c r="E545" s="55"/>
      <c r="F545" s="96"/>
    </row>
    <row r="546" spans="1:6" hidden="1" x14ac:dyDescent="0.3">
      <c r="A546" s="33"/>
      <c r="B546" s="119"/>
      <c r="C546" s="120"/>
      <c r="D546" s="118"/>
      <c r="E546" s="55"/>
      <c r="F546" s="96"/>
    </row>
    <row r="547" spans="1:6" hidden="1" x14ac:dyDescent="0.3">
      <c r="A547" s="33"/>
      <c r="B547" s="119"/>
      <c r="C547" s="120"/>
      <c r="D547" s="118"/>
      <c r="E547" s="55"/>
      <c r="F547" s="96"/>
    </row>
    <row r="548" spans="1:6" hidden="1" x14ac:dyDescent="0.3">
      <c r="A548" s="33"/>
      <c r="B548" s="119"/>
      <c r="C548" s="120"/>
      <c r="D548" s="118"/>
      <c r="E548" s="55"/>
      <c r="F548" s="96"/>
    </row>
    <row r="549" spans="1:6" hidden="1" x14ac:dyDescent="0.3">
      <c r="A549" s="33"/>
      <c r="B549" s="119"/>
      <c r="C549" s="120"/>
      <c r="D549" s="118"/>
      <c r="E549" s="55"/>
      <c r="F549" s="96"/>
    </row>
    <row r="550" spans="1:6" hidden="1" x14ac:dyDescent="0.3">
      <c r="A550" s="33"/>
      <c r="B550" s="119"/>
      <c r="C550" s="120"/>
      <c r="D550" s="118"/>
      <c r="E550" s="55"/>
      <c r="F550" s="96"/>
    </row>
    <row r="551" spans="1:6" hidden="1" x14ac:dyDescent="0.3">
      <c r="A551" s="33"/>
      <c r="B551" s="119"/>
      <c r="C551" s="120"/>
      <c r="D551" s="118"/>
      <c r="E551" s="55"/>
      <c r="F551" s="96"/>
    </row>
    <row r="552" spans="1:6" hidden="1" x14ac:dyDescent="0.3">
      <c r="A552" s="33"/>
      <c r="B552" s="119"/>
      <c r="C552" s="120"/>
      <c r="D552" s="118"/>
      <c r="E552" s="55"/>
      <c r="F552" s="96"/>
    </row>
    <row r="553" spans="1:6" hidden="1" x14ac:dyDescent="0.3">
      <c r="A553" s="33"/>
      <c r="B553" s="119"/>
      <c r="C553" s="120"/>
      <c r="D553" s="118"/>
      <c r="E553" s="55"/>
      <c r="F553" s="96"/>
    </row>
    <row r="554" spans="1:6" hidden="1" x14ac:dyDescent="0.3">
      <c r="A554" s="33"/>
      <c r="B554" s="119"/>
      <c r="C554" s="120"/>
      <c r="D554" s="118"/>
      <c r="E554" s="55"/>
      <c r="F554" s="96"/>
    </row>
    <row r="555" spans="1:6" hidden="1" x14ac:dyDescent="0.3">
      <c r="A555" s="33"/>
      <c r="B555" s="119"/>
      <c r="C555" s="120"/>
      <c r="D555" s="118"/>
      <c r="E555" s="45"/>
      <c r="F555" s="96"/>
    </row>
    <row r="556" spans="1:6" hidden="1" x14ac:dyDescent="0.3">
      <c r="A556" s="33"/>
      <c r="B556" s="119"/>
      <c r="C556" s="120"/>
      <c r="D556" s="118"/>
      <c r="E556" s="42"/>
      <c r="F556" s="96"/>
    </row>
    <row r="557" spans="1:6" hidden="1" x14ac:dyDescent="0.3">
      <c r="A557" s="33"/>
      <c r="B557" s="119"/>
      <c r="C557" s="120"/>
      <c r="D557" s="118"/>
      <c r="E557" s="42"/>
      <c r="F557" s="96"/>
    </row>
    <row r="558" spans="1:6" hidden="1" x14ac:dyDescent="0.3">
      <c r="A558" s="123"/>
      <c r="B558" s="124"/>
      <c r="C558" s="125"/>
      <c r="D558" s="126"/>
      <c r="E558" s="127"/>
      <c r="F558" s="111"/>
    </row>
    <row r="559" spans="1:6" hidden="1" x14ac:dyDescent="0.3">
      <c r="A559" s="123"/>
      <c r="B559" s="124"/>
      <c r="C559" s="125"/>
      <c r="D559" s="126"/>
      <c r="E559" s="127"/>
      <c r="F559" s="111"/>
    </row>
    <row r="560" spans="1:6" hidden="1" x14ac:dyDescent="0.3">
      <c r="A560" s="33"/>
      <c r="B560" s="119"/>
      <c r="C560" s="120"/>
      <c r="D560" s="118"/>
      <c r="E560" s="55"/>
      <c r="F560" s="96"/>
    </row>
    <row r="561" spans="1:6" hidden="1" x14ac:dyDescent="0.3">
      <c r="A561" s="33"/>
      <c r="B561" s="119"/>
      <c r="C561" s="120"/>
      <c r="D561" s="118"/>
      <c r="E561" s="42"/>
      <c r="F561" s="96"/>
    </row>
    <row r="562" spans="1:6" hidden="1" x14ac:dyDescent="0.3">
      <c r="A562" s="33"/>
      <c r="B562" s="119"/>
      <c r="C562" s="120"/>
      <c r="D562" s="118"/>
      <c r="E562" s="42"/>
      <c r="F562" s="96"/>
    </row>
    <row r="563" spans="1:6" hidden="1" x14ac:dyDescent="0.3">
      <c r="A563" s="33"/>
      <c r="B563" s="119"/>
      <c r="C563" s="120"/>
      <c r="D563" s="118"/>
      <c r="E563" s="42"/>
      <c r="F563" s="96"/>
    </row>
    <row r="564" spans="1:6" s="35" customFormat="1" hidden="1" x14ac:dyDescent="0.3">
      <c r="A564" s="33"/>
      <c r="B564" s="119"/>
      <c r="C564" s="120"/>
      <c r="D564" s="118"/>
      <c r="E564" s="42"/>
      <c r="F564" s="96"/>
    </row>
    <row r="565" spans="1:6" hidden="1" x14ac:dyDescent="0.3">
      <c r="A565" s="19"/>
      <c r="B565" s="10"/>
      <c r="C565" s="122"/>
      <c r="D565" s="118"/>
      <c r="E565" s="55"/>
      <c r="F565" s="96"/>
    </row>
    <row r="566" spans="1:6" hidden="1" x14ac:dyDescent="0.3">
      <c r="A566" s="19"/>
      <c r="B566" s="10"/>
      <c r="C566" s="122"/>
      <c r="D566" s="118"/>
      <c r="E566" s="55"/>
      <c r="F566" s="96"/>
    </row>
    <row r="567" spans="1:6" hidden="1" x14ac:dyDescent="0.3">
      <c r="A567" s="19"/>
      <c r="B567" s="10"/>
      <c r="C567" s="122"/>
      <c r="D567" s="19"/>
      <c r="E567" s="55"/>
      <c r="F567" s="96"/>
    </row>
    <row r="568" spans="1:6" hidden="1" x14ac:dyDescent="0.3">
      <c r="A568" s="19"/>
      <c r="B568" s="10"/>
      <c r="C568" s="122"/>
      <c r="D568" s="19"/>
      <c r="E568" s="55"/>
      <c r="F568" s="96"/>
    </row>
    <row r="569" spans="1:6" hidden="1" x14ac:dyDescent="0.3">
      <c r="A569" s="19"/>
      <c r="B569" s="10"/>
      <c r="C569" s="122"/>
      <c r="D569" s="19"/>
      <c r="E569" s="55"/>
      <c r="F569" s="96"/>
    </row>
    <row r="570" spans="1:6" s="35" customFormat="1" hidden="1" x14ac:dyDescent="0.3">
      <c r="A570" s="33"/>
      <c r="B570" s="119"/>
      <c r="C570" s="117"/>
      <c r="D570" s="118"/>
      <c r="E570" s="55"/>
      <c r="F570" s="96"/>
    </row>
    <row r="571" spans="1:6" s="35" customFormat="1" hidden="1" x14ac:dyDescent="0.3">
      <c r="A571" s="33"/>
      <c r="B571" s="119"/>
      <c r="C571" s="121"/>
      <c r="D571" s="118"/>
      <c r="E571" s="55"/>
      <c r="F571" s="96"/>
    </row>
    <row r="572" spans="1:6" s="35" customFormat="1" hidden="1" x14ac:dyDescent="0.3">
      <c r="A572" s="33"/>
      <c r="B572" s="119"/>
      <c r="C572" s="117"/>
      <c r="D572" s="118"/>
      <c r="E572" s="42"/>
      <c r="F572" s="96"/>
    </row>
    <row r="573" spans="1:6" s="35" customFormat="1" hidden="1" x14ac:dyDescent="0.3">
      <c r="A573" s="33"/>
      <c r="B573" s="119"/>
      <c r="C573" s="120"/>
      <c r="D573" s="118"/>
      <c r="E573" s="42"/>
      <c r="F573" s="96"/>
    </row>
    <row r="574" spans="1:6" s="35" customFormat="1" hidden="1" x14ac:dyDescent="0.3">
      <c r="A574" s="33"/>
      <c r="B574" s="119"/>
      <c r="C574" s="120"/>
      <c r="D574" s="118"/>
      <c r="E574" s="42"/>
      <c r="F574" s="96"/>
    </row>
    <row r="575" spans="1:6" s="35" customFormat="1" hidden="1" x14ac:dyDescent="0.3">
      <c r="A575" s="33"/>
      <c r="B575" s="119"/>
      <c r="C575" s="120"/>
      <c r="D575" s="118"/>
      <c r="E575" s="42"/>
      <c r="F575" s="96"/>
    </row>
    <row r="576" spans="1:6" s="35" customFormat="1" hidden="1" x14ac:dyDescent="0.3">
      <c r="A576" s="33"/>
      <c r="B576" s="119"/>
      <c r="C576" s="120"/>
      <c r="D576" s="118"/>
      <c r="E576" s="42"/>
      <c r="F576" s="96"/>
    </row>
    <row r="577" spans="1:6" hidden="1" x14ac:dyDescent="0.3">
      <c r="A577" s="33"/>
      <c r="B577" s="119"/>
      <c r="C577" s="120"/>
      <c r="D577" s="118"/>
      <c r="E577" s="42"/>
      <c r="F577" s="96"/>
    </row>
    <row r="578" spans="1:6" s="35" customFormat="1" hidden="1" x14ac:dyDescent="0.3">
      <c r="A578" s="33"/>
      <c r="B578" s="119"/>
      <c r="C578" s="120"/>
      <c r="D578" s="118"/>
      <c r="E578" s="42"/>
      <c r="F578" s="96"/>
    </row>
    <row r="579" spans="1:6" s="35" customFormat="1" hidden="1" x14ac:dyDescent="0.3">
      <c r="A579" s="33"/>
      <c r="B579" s="119"/>
      <c r="C579" s="120"/>
      <c r="D579" s="118"/>
      <c r="E579" s="42"/>
      <c r="F579" s="96"/>
    </row>
    <row r="580" spans="1:6" s="35" customFormat="1" hidden="1" x14ac:dyDescent="0.3">
      <c r="A580" s="33"/>
      <c r="B580" s="119"/>
      <c r="C580" s="120"/>
      <c r="D580" s="118"/>
      <c r="E580" s="42"/>
      <c r="F580" s="96"/>
    </row>
    <row r="581" spans="1:6" s="35" customFormat="1" hidden="1" x14ac:dyDescent="0.3">
      <c r="A581" s="33"/>
      <c r="B581" s="119"/>
      <c r="C581" s="120"/>
      <c r="D581" s="118"/>
      <c r="E581" s="42"/>
      <c r="F581" s="96"/>
    </row>
    <row r="582" spans="1:6" s="35" customFormat="1" hidden="1" x14ac:dyDescent="0.3">
      <c r="A582" s="33"/>
      <c r="B582" s="119"/>
      <c r="C582" s="120"/>
      <c r="D582" s="118"/>
      <c r="E582" s="42"/>
      <c r="F582" s="96"/>
    </row>
    <row r="583" spans="1:6" s="35" customFormat="1" hidden="1" x14ac:dyDescent="0.3">
      <c r="A583" s="33"/>
      <c r="B583" s="119"/>
      <c r="C583" s="120"/>
      <c r="D583" s="118"/>
      <c r="E583" s="42"/>
      <c r="F583" s="96"/>
    </row>
    <row r="584" spans="1:6" s="35" customFormat="1" hidden="1" x14ac:dyDescent="0.3">
      <c r="A584" s="33"/>
      <c r="B584" s="119"/>
      <c r="C584" s="120"/>
      <c r="D584" s="118"/>
      <c r="E584" s="42"/>
      <c r="F584" s="96"/>
    </row>
    <row r="585" spans="1:6" s="35" customFormat="1" hidden="1" x14ac:dyDescent="0.3">
      <c r="A585" s="33"/>
      <c r="B585" s="119"/>
      <c r="C585" s="120"/>
      <c r="D585" s="118"/>
      <c r="E585" s="42"/>
      <c r="F585" s="96"/>
    </row>
    <row r="586" spans="1:6" s="35" customFormat="1" hidden="1" x14ac:dyDescent="0.3">
      <c r="A586" s="33"/>
      <c r="B586" s="119"/>
      <c r="C586" s="120"/>
      <c r="D586" s="118"/>
      <c r="E586" s="42"/>
      <c r="F586" s="96"/>
    </row>
    <row r="587" spans="1:6" s="35" customFormat="1" hidden="1" x14ac:dyDescent="0.3">
      <c r="A587" s="33"/>
      <c r="B587" s="119"/>
      <c r="C587" s="120"/>
      <c r="D587" s="118"/>
      <c r="E587" s="42"/>
      <c r="F587" s="96"/>
    </row>
    <row r="588" spans="1:6" s="35" customFormat="1" hidden="1" x14ac:dyDescent="0.3">
      <c r="A588" s="33"/>
      <c r="B588" s="119"/>
      <c r="C588" s="120"/>
      <c r="D588" s="118"/>
      <c r="E588" s="42"/>
      <c r="F588" s="96"/>
    </row>
    <row r="589" spans="1:6" s="35" customFormat="1" hidden="1" x14ac:dyDescent="0.3">
      <c r="A589" s="33"/>
      <c r="B589" s="119"/>
      <c r="C589" s="120"/>
      <c r="D589" s="64"/>
      <c r="E589" s="42"/>
      <c r="F589" s="96"/>
    </row>
    <row r="590" spans="1:6" s="35" customFormat="1" hidden="1" x14ac:dyDescent="0.3">
      <c r="A590" s="110"/>
      <c r="B590" s="119"/>
      <c r="C590" s="117"/>
      <c r="D590" s="118"/>
      <c r="E590" s="42"/>
      <c r="F590" s="96"/>
    </row>
    <row r="591" spans="1:6" s="35" customFormat="1" hidden="1" x14ac:dyDescent="0.3">
      <c r="A591" s="110"/>
      <c r="B591" s="119"/>
      <c r="C591" s="117"/>
      <c r="D591" s="118"/>
      <c r="E591" s="42"/>
      <c r="F591" s="96"/>
    </row>
    <row r="592" spans="1:6" s="35" customFormat="1" hidden="1" x14ac:dyDescent="0.3">
      <c r="A592" s="110"/>
      <c r="B592" s="119"/>
      <c r="C592" s="117"/>
      <c r="D592" s="118"/>
      <c r="E592" s="42"/>
      <c r="F592" s="96"/>
    </row>
    <row r="593" spans="1:6" s="35" customFormat="1" hidden="1" x14ac:dyDescent="0.3">
      <c r="A593" s="110"/>
      <c r="B593" s="119"/>
      <c r="C593" s="117"/>
      <c r="D593" s="118"/>
      <c r="E593" s="42"/>
      <c r="F593" s="96"/>
    </row>
    <row r="594" spans="1:6" s="35" customFormat="1" hidden="1" x14ac:dyDescent="0.3">
      <c r="A594" s="110"/>
      <c r="B594" s="119"/>
      <c r="C594" s="117"/>
      <c r="D594" s="118"/>
      <c r="E594" s="42"/>
      <c r="F594" s="96"/>
    </row>
    <row r="595" spans="1:6" s="35" customFormat="1" hidden="1" x14ac:dyDescent="0.3">
      <c r="A595" s="110"/>
      <c r="B595" s="119"/>
      <c r="C595" s="117"/>
      <c r="D595" s="118"/>
      <c r="E595" s="42"/>
      <c r="F595" s="96"/>
    </row>
    <row r="596" spans="1:6" s="35" customFormat="1" hidden="1" x14ac:dyDescent="0.3">
      <c r="A596" s="110"/>
      <c r="B596" s="119"/>
      <c r="C596" s="117"/>
      <c r="D596" s="118"/>
      <c r="E596" s="42"/>
      <c r="F596" s="96"/>
    </row>
    <row r="597" spans="1:6" s="35" customFormat="1" hidden="1" x14ac:dyDescent="0.3">
      <c r="A597" s="110"/>
      <c r="B597" s="119"/>
      <c r="C597" s="117"/>
      <c r="D597" s="118"/>
      <c r="E597" s="42"/>
      <c r="F597" s="96"/>
    </row>
    <row r="598" spans="1:6" s="35" customFormat="1" hidden="1" x14ac:dyDescent="0.3">
      <c r="A598" s="33"/>
      <c r="B598" s="119"/>
      <c r="C598" s="120"/>
      <c r="D598" s="118"/>
      <c r="E598" s="42"/>
      <c r="F598" s="96"/>
    </row>
    <row r="599" spans="1:6" s="35" customFormat="1" hidden="1" x14ac:dyDescent="0.3">
      <c r="A599" s="33"/>
      <c r="B599" s="119"/>
      <c r="C599" s="120"/>
      <c r="D599" s="118"/>
      <c r="E599" s="42"/>
      <c r="F599" s="96"/>
    </row>
    <row r="600" spans="1:6" hidden="1" x14ac:dyDescent="0.3">
      <c r="A600" s="33"/>
      <c r="B600" s="119"/>
      <c r="C600" s="120"/>
      <c r="D600" s="118"/>
      <c r="E600" s="42"/>
      <c r="F600" s="96"/>
    </row>
    <row r="601" spans="1:6" hidden="1" x14ac:dyDescent="0.3">
      <c r="A601" s="33"/>
      <c r="B601" s="119"/>
      <c r="C601" s="117"/>
      <c r="D601" s="118"/>
      <c r="E601" s="45"/>
      <c r="F601" s="96"/>
    </row>
    <row r="602" spans="1:6" hidden="1" x14ac:dyDescent="0.3">
      <c r="A602" s="33"/>
      <c r="B602" s="119"/>
      <c r="C602" s="117"/>
      <c r="D602" s="118"/>
      <c r="E602" s="45"/>
      <c r="F602" s="96"/>
    </row>
    <row r="603" spans="1:6" hidden="1" x14ac:dyDescent="0.3">
      <c r="A603" s="33"/>
      <c r="B603" s="119"/>
      <c r="C603" s="117"/>
      <c r="D603" s="118"/>
      <c r="E603" s="45"/>
      <c r="F603" s="96"/>
    </row>
    <row r="604" spans="1:6" s="35" customFormat="1" hidden="1" x14ac:dyDescent="0.3">
      <c r="A604" s="33"/>
      <c r="B604" s="119"/>
      <c r="C604" s="117"/>
      <c r="D604" s="118"/>
      <c r="E604" s="10"/>
      <c r="F604" s="96"/>
    </row>
    <row r="605" spans="1:6" s="35" customFormat="1" hidden="1" x14ac:dyDescent="0.3">
      <c r="A605" s="33"/>
      <c r="B605" s="119"/>
      <c r="C605" s="120"/>
      <c r="D605" s="118"/>
      <c r="E605" s="42"/>
      <c r="F605" s="96"/>
    </row>
    <row r="606" spans="1:6" s="35" customFormat="1" hidden="1" x14ac:dyDescent="0.3">
      <c r="A606" s="33"/>
      <c r="B606" s="119"/>
      <c r="C606" s="120"/>
      <c r="D606" s="118"/>
      <c r="E606" s="42"/>
      <c r="F606" s="96"/>
    </row>
    <row r="607" spans="1:6" s="35" customFormat="1" hidden="1" x14ac:dyDescent="0.3">
      <c r="A607" s="33"/>
      <c r="B607" s="119"/>
      <c r="C607" s="120"/>
      <c r="D607" s="118"/>
      <c r="E607" s="42"/>
      <c r="F607" s="96"/>
    </row>
    <row r="608" spans="1:6" hidden="1" x14ac:dyDescent="0.3">
      <c r="A608" s="33"/>
      <c r="B608" s="119"/>
      <c r="C608" s="120"/>
      <c r="D608" s="118"/>
      <c r="E608" s="42"/>
      <c r="F608" s="108"/>
    </row>
    <row r="609" spans="1:6" hidden="1" x14ac:dyDescent="0.3">
      <c r="A609" s="110"/>
      <c r="B609" s="10"/>
      <c r="C609" s="117"/>
      <c r="D609" s="19"/>
      <c r="E609" s="42"/>
      <c r="F609" s="96"/>
    </row>
    <row r="610" spans="1:6" hidden="1" x14ac:dyDescent="0.3">
      <c r="A610" s="110"/>
      <c r="B610" s="10"/>
      <c r="C610" s="117"/>
      <c r="D610" s="19"/>
      <c r="E610" s="42"/>
      <c r="F610" s="96"/>
    </row>
    <row r="611" spans="1:6" hidden="1" x14ac:dyDescent="0.3">
      <c r="A611" s="110"/>
      <c r="B611" s="10"/>
      <c r="C611" s="117"/>
      <c r="D611" s="19"/>
      <c r="E611" s="42"/>
      <c r="F611" s="96"/>
    </row>
    <row r="612" spans="1:6" hidden="1" x14ac:dyDescent="0.3">
      <c r="A612" s="110"/>
      <c r="B612" s="10"/>
      <c r="C612" s="122"/>
      <c r="D612" s="19"/>
      <c r="E612" s="42"/>
      <c r="F612" s="96"/>
    </row>
    <row r="613" spans="1:6" hidden="1" x14ac:dyDescent="0.3">
      <c r="A613" s="110"/>
      <c r="B613" s="10"/>
      <c r="C613" s="122"/>
      <c r="D613" s="19"/>
      <c r="E613" s="42"/>
      <c r="F613" s="96"/>
    </row>
    <row r="614" spans="1:6" hidden="1" x14ac:dyDescent="0.3">
      <c r="A614" s="110"/>
      <c r="B614" s="10"/>
      <c r="C614" s="122"/>
      <c r="D614" s="19"/>
      <c r="E614" s="42"/>
      <c r="F614" s="96"/>
    </row>
    <row r="615" spans="1:6" hidden="1" x14ac:dyDescent="0.3">
      <c r="A615" s="110"/>
      <c r="B615" s="10"/>
      <c r="C615" s="122"/>
      <c r="D615" s="19"/>
      <c r="E615" s="42"/>
      <c r="F615" s="96"/>
    </row>
    <row r="616" spans="1:6" hidden="1" x14ac:dyDescent="0.3">
      <c r="A616" s="110"/>
      <c r="B616" s="10"/>
      <c r="C616" s="122"/>
      <c r="D616" s="19"/>
      <c r="E616" s="42"/>
      <c r="F616" s="96"/>
    </row>
    <row r="617" spans="1:6" hidden="1" x14ac:dyDescent="0.3">
      <c r="A617" s="110"/>
      <c r="B617" s="10"/>
      <c r="C617" s="122"/>
      <c r="D617" s="19"/>
      <c r="E617" s="42"/>
      <c r="F617" s="96"/>
    </row>
    <row r="618" spans="1:6" hidden="1" x14ac:dyDescent="0.3">
      <c r="A618" s="110"/>
      <c r="B618" s="10"/>
      <c r="C618" s="122"/>
      <c r="D618" s="19"/>
      <c r="E618" s="42"/>
      <c r="F618" s="96"/>
    </row>
    <row r="619" spans="1:6" s="35" customFormat="1" hidden="1" x14ac:dyDescent="0.3">
      <c r="A619" s="110"/>
      <c r="B619" s="10"/>
      <c r="C619" s="122"/>
      <c r="D619" s="19"/>
      <c r="E619" s="42"/>
      <c r="F619" s="96"/>
    </row>
    <row r="620" spans="1:6" s="35" customFormat="1" hidden="1" x14ac:dyDescent="0.3">
      <c r="A620" s="33"/>
      <c r="B620" s="119"/>
      <c r="C620" s="117"/>
      <c r="D620" s="118"/>
      <c r="E620" s="42"/>
      <c r="F620" s="96"/>
    </row>
    <row r="621" spans="1:6" s="35" customFormat="1" hidden="1" x14ac:dyDescent="0.3">
      <c r="A621" s="33"/>
      <c r="B621" s="64"/>
      <c r="C621" s="117"/>
      <c r="D621" s="118"/>
      <c r="E621" s="42"/>
      <c r="F621" s="96"/>
    </row>
    <row r="622" spans="1:6" s="35" customFormat="1" hidden="1" x14ac:dyDescent="0.3">
      <c r="A622" s="33"/>
      <c r="B622" s="119"/>
      <c r="C622" s="120"/>
      <c r="D622" s="118"/>
      <c r="E622" s="55"/>
      <c r="F622" s="96"/>
    </row>
    <row r="623" spans="1:6" s="35" customFormat="1" hidden="1" x14ac:dyDescent="0.3">
      <c r="A623" s="33"/>
      <c r="B623" s="119"/>
      <c r="C623" s="120"/>
      <c r="D623" s="118"/>
      <c r="E623" s="42"/>
      <c r="F623" s="96"/>
    </row>
    <row r="624" spans="1:6" s="35" customFormat="1" hidden="1" x14ac:dyDescent="0.3">
      <c r="A624" s="33"/>
      <c r="B624" s="119"/>
      <c r="C624" s="120"/>
      <c r="D624" s="118"/>
      <c r="E624" s="55"/>
      <c r="F624" s="96"/>
    </row>
    <row r="625" spans="1:6" s="35" customFormat="1" hidden="1" x14ac:dyDescent="0.3">
      <c r="A625" s="33"/>
      <c r="B625" s="119"/>
      <c r="C625" s="120"/>
      <c r="D625" s="118"/>
      <c r="E625" s="42"/>
      <c r="F625" s="96"/>
    </row>
    <row r="626" spans="1:6" s="35" customFormat="1" hidden="1" x14ac:dyDescent="0.3">
      <c r="A626" s="33"/>
      <c r="B626" s="119"/>
      <c r="C626" s="120"/>
      <c r="D626" s="118"/>
      <c r="E626" s="42"/>
      <c r="F626" s="96"/>
    </row>
    <row r="627" spans="1:6" s="35" customFormat="1" hidden="1" x14ac:dyDescent="0.3">
      <c r="A627" s="33"/>
      <c r="B627" s="119"/>
      <c r="C627" s="120"/>
      <c r="D627" s="118"/>
      <c r="E627" s="42"/>
      <c r="F627" s="96"/>
    </row>
    <row r="628" spans="1:6" s="35" customFormat="1" hidden="1" x14ac:dyDescent="0.3">
      <c r="A628" s="33"/>
      <c r="B628" s="119"/>
      <c r="C628" s="120"/>
      <c r="D628" s="118"/>
      <c r="E628" s="42"/>
      <c r="F628" s="96"/>
    </row>
    <row r="629" spans="1:6" s="35" customFormat="1" hidden="1" x14ac:dyDescent="0.3">
      <c r="A629" s="33"/>
      <c r="B629" s="119"/>
      <c r="C629" s="120"/>
      <c r="D629" s="118"/>
      <c r="E629" s="42"/>
      <c r="F629" s="96"/>
    </row>
    <row r="630" spans="1:6" s="35" customFormat="1" hidden="1" x14ac:dyDescent="0.3">
      <c r="A630" s="33"/>
      <c r="B630" s="119"/>
      <c r="C630" s="120"/>
      <c r="D630" s="118"/>
      <c r="E630" s="42"/>
      <c r="F630" s="96"/>
    </row>
    <row r="631" spans="1:6" s="35" customFormat="1" hidden="1" x14ac:dyDescent="0.3">
      <c r="A631" s="33"/>
      <c r="B631" s="119"/>
      <c r="C631" s="120"/>
      <c r="D631" s="118"/>
      <c r="E631" s="42"/>
      <c r="F631" s="115"/>
    </row>
    <row r="632" spans="1:6" s="35" customFormat="1" hidden="1" x14ac:dyDescent="0.3">
      <c r="A632" s="33"/>
      <c r="B632" s="119"/>
      <c r="C632" s="120"/>
      <c r="D632" s="118"/>
      <c r="E632" s="42"/>
      <c r="F632" s="96"/>
    </row>
    <row r="633" spans="1:6" s="35" customFormat="1" hidden="1" x14ac:dyDescent="0.3">
      <c r="A633" s="33"/>
      <c r="B633" s="119"/>
      <c r="C633" s="120"/>
      <c r="D633" s="118"/>
      <c r="E633" s="42"/>
      <c r="F633" s="96"/>
    </row>
    <row r="634" spans="1:6" s="35" customFormat="1" hidden="1" x14ac:dyDescent="0.3">
      <c r="A634" s="33"/>
      <c r="B634" s="119"/>
      <c r="C634" s="120"/>
      <c r="D634" s="118"/>
      <c r="E634" s="42"/>
      <c r="F634" s="96"/>
    </row>
    <row r="635" spans="1:6" s="35" customFormat="1" hidden="1" x14ac:dyDescent="0.3">
      <c r="A635" s="33"/>
      <c r="B635" s="119"/>
      <c r="C635" s="120"/>
      <c r="D635" s="118"/>
      <c r="E635" s="42"/>
      <c r="F635" s="96"/>
    </row>
    <row r="636" spans="1:6" s="35" customFormat="1" hidden="1" x14ac:dyDescent="0.3">
      <c r="A636" s="33"/>
      <c r="B636" s="119"/>
      <c r="C636" s="120"/>
      <c r="D636" s="118"/>
      <c r="E636" s="42"/>
      <c r="F636" s="96"/>
    </row>
    <row r="637" spans="1:6" s="35" customFormat="1" hidden="1" x14ac:dyDescent="0.3">
      <c r="A637" s="33"/>
      <c r="B637" s="119"/>
      <c r="C637" s="120"/>
      <c r="D637" s="118"/>
      <c r="E637" s="42"/>
      <c r="F637" s="96"/>
    </row>
    <row r="638" spans="1:6" s="35" customFormat="1" hidden="1" x14ac:dyDescent="0.3">
      <c r="A638" s="33"/>
      <c r="B638" s="119"/>
      <c r="C638" s="120"/>
      <c r="D638" s="118"/>
      <c r="E638" s="42"/>
      <c r="F638" s="96"/>
    </row>
    <row r="639" spans="1:6" s="35" customFormat="1" hidden="1" x14ac:dyDescent="0.3">
      <c r="A639" s="33"/>
      <c r="B639" s="119"/>
      <c r="C639" s="120"/>
      <c r="D639" s="118"/>
      <c r="E639" s="42"/>
      <c r="F639" s="96"/>
    </row>
    <row r="640" spans="1:6" s="35" customFormat="1" hidden="1" x14ac:dyDescent="0.3">
      <c r="A640" s="33"/>
      <c r="B640" s="119"/>
      <c r="C640" s="120"/>
      <c r="D640" s="118"/>
      <c r="E640" s="42"/>
      <c r="F640" s="96"/>
    </row>
    <row r="641" spans="1:6" s="35" customFormat="1" hidden="1" x14ac:dyDescent="0.3">
      <c r="A641" s="33"/>
      <c r="B641" s="119"/>
      <c r="C641" s="120"/>
      <c r="D641" s="118"/>
      <c r="E641" s="42"/>
      <c r="F641" s="96"/>
    </row>
    <row r="642" spans="1:6" s="35" customFormat="1" hidden="1" x14ac:dyDescent="0.3">
      <c r="A642" s="33"/>
      <c r="B642" s="119"/>
      <c r="C642" s="120"/>
      <c r="D642" s="118"/>
      <c r="E642" s="42"/>
      <c r="F642" s="96"/>
    </row>
    <row r="643" spans="1:6" s="35" customFormat="1" hidden="1" x14ac:dyDescent="0.3">
      <c r="A643" s="33"/>
      <c r="B643" s="119"/>
      <c r="C643" s="120"/>
      <c r="D643" s="118"/>
      <c r="E643" s="42"/>
      <c r="F643" s="96"/>
    </row>
    <row r="644" spans="1:6" s="35" customFormat="1" hidden="1" x14ac:dyDescent="0.3">
      <c r="A644" s="33"/>
      <c r="B644" s="119"/>
      <c r="C644" s="120"/>
      <c r="D644" s="118"/>
      <c r="E644" s="42"/>
      <c r="F644" s="96"/>
    </row>
    <row r="645" spans="1:6" s="35" customFormat="1" hidden="1" x14ac:dyDescent="0.3">
      <c r="A645" s="33"/>
      <c r="B645" s="119"/>
      <c r="C645" s="120"/>
      <c r="D645" s="118"/>
      <c r="E645" s="55"/>
      <c r="F645" s="96"/>
    </row>
    <row r="646" spans="1:6" s="35" customFormat="1" hidden="1" x14ac:dyDescent="0.3">
      <c r="A646" s="33"/>
      <c r="B646" s="119"/>
      <c r="C646" s="120"/>
      <c r="D646" s="118"/>
      <c r="E646" s="42"/>
      <c r="F646" s="96"/>
    </row>
    <row r="647" spans="1:6" s="35" customFormat="1" hidden="1" x14ac:dyDescent="0.3">
      <c r="A647" s="33"/>
      <c r="B647" s="119"/>
      <c r="C647" s="120"/>
      <c r="D647" s="118"/>
      <c r="E647" s="42"/>
      <c r="F647" s="96"/>
    </row>
    <row r="648" spans="1:6" s="35" customFormat="1" hidden="1" x14ac:dyDescent="0.3">
      <c r="A648" s="33"/>
      <c r="B648" s="119"/>
      <c r="C648" s="120"/>
      <c r="D648" s="118"/>
      <c r="E648" s="42"/>
      <c r="F648" s="96"/>
    </row>
    <row r="649" spans="1:6" s="35" customFormat="1" hidden="1" x14ac:dyDescent="0.3">
      <c r="A649" s="33"/>
      <c r="B649" s="119"/>
      <c r="C649" s="120"/>
      <c r="D649" s="118"/>
      <c r="E649" s="42"/>
      <c r="F649" s="96"/>
    </row>
    <row r="650" spans="1:6" s="35" customFormat="1" hidden="1" x14ac:dyDescent="0.3">
      <c r="A650" s="33"/>
      <c r="B650" s="119"/>
      <c r="C650" s="120"/>
      <c r="D650" s="118"/>
      <c r="E650" s="42"/>
      <c r="F650" s="96"/>
    </row>
    <row r="651" spans="1:6" s="35" customFormat="1" hidden="1" x14ac:dyDescent="0.3">
      <c r="A651" s="33"/>
      <c r="B651" s="119"/>
      <c r="C651" s="120"/>
      <c r="D651" s="118"/>
      <c r="E651" s="42"/>
      <c r="F651" s="96"/>
    </row>
    <row r="652" spans="1:6" s="35" customFormat="1" hidden="1" x14ac:dyDescent="0.3">
      <c r="A652" s="33"/>
      <c r="B652" s="119"/>
      <c r="C652" s="120"/>
      <c r="D652" s="118"/>
      <c r="E652" s="42"/>
      <c r="F652" s="96"/>
    </row>
    <row r="653" spans="1:6" s="35" customFormat="1" hidden="1" x14ac:dyDescent="0.3">
      <c r="A653" s="33"/>
      <c r="B653" s="119"/>
      <c r="C653" s="120"/>
      <c r="D653" s="118"/>
      <c r="E653" s="42"/>
      <c r="F653" s="96"/>
    </row>
    <row r="654" spans="1:6" s="35" customFormat="1" hidden="1" x14ac:dyDescent="0.3">
      <c r="A654" s="33"/>
      <c r="B654" s="119"/>
      <c r="C654" s="120"/>
      <c r="D654" s="118"/>
      <c r="E654" s="42"/>
      <c r="F654" s="96"/>
    </row>
    <row r="655" spans="1:6" s="35" customFormat="1" hidden="1" x14ac:dyDescent="0.3">
      <c r="A655" s="33"/>
      <c r="B655" s="119"/>
      <c r="C655" s="120"/>
      <c r="D655" s="118"/>
      <c r="E655" s="119"/>
      <c r="F655" s="96"/>
    </row>
    <row r="656" spans="1:6" s="35" customFormat="1" hidden="1" x14ac:dyDescent="0.3">
      <c r="A656" s="33"/>
      <c r="B656" s="119"/>
      <c r="C656" s="120"/>
      <c r="D656" s="118"/>
      <c r="E656" s="119"/>
      <c r="F656" s="96"/>
    </row>
    <row r="657" spans="1:6" s="35" customFormat="1" hidden="1" x14ac:dyDescent="0.3">
      <c r="A657" s="33"/>
      <c r="B657" s="119"/>
      <c r="C657" s="120"/>
      <c r="D657" s="118"/>
      <c r="E657" s="42"/>
      <c r="F657" s="96"/>
    </row>
    <row r="658" spans="1:6" s="35" customFormat="1" hidden="1" x14ac:dyDescent="0.3">
      <c r="A658" s="33"/>
      <c r="B658" s="119"/>
      <c r="C658" s="120"/>
      <c r="D658" s="118"/>
      <c r="E658" s="42"/>
      <c r="F658" s="96"/>
    </row>
    <row r="659" spans="1:6" s="35" customFormat="1" hidden="1" x14ac:dyDescent="0.3">
      <c r="A659" s="33"/>
      <c r="B659" s="119"/>
      <c r="C659" s="120"/>
      <c r="D659" s="118"/>
      <c r="E659" s="42"/>
      <c r="F659" s="96"/>
    </row>
    <row r="660" spans="1:6" s="35" customFormat="1" hidden="1" x14ac:dyDescent="0.3">
      <c r="A660" s="33"/>
      <c r="B660" s="119"/>
      <c r="C660" s="120"/>
      <c r="D660" s="118"/>
      <c r="E660" s="42"/>
      <c r="F660" s="96"/>
    </row>
    <row r="661" spans="1:6" s="35" customFormat="1" hidden="1" x14ac:dyDescent="0.3">
      <c r="A661" s="33"/>
      <c r="B661" s="119"/>
      <c r="C661" s="120"/>
      <c r="D661" s="118"/>
      <c r="E661" s="42"/>
      <c r="F661" s="96"/>
    </row>
    <row r="662" spans="1:6" s="35" customFormat="1" hidden="1" x14ac:dyDescent="0.3">
      <c r="A662" s="33"/>
      <c r="B662" s="119"/>
      <c r="C662" s="100"/>
      <c r="D662" s="118"/>
      <c r="E662" s="42"/>
      <c r="F662" s="96"/>
    </row>
    <row r="663" spans="1:6" s="35" customFormat="1" hidden="1" x14ac:dyDescent="0.3">
      <c r="A663" s="33"/>
      <c r="B663" s="119"/>
      <c r="C663" s="120"/>
      <c r="D663" s="118"/>
      <c r="E663" s="42"/>
      <c r="F663" s="96"/>
    </row>
    <row r="664" spans="1:6" s="35" customFormat="1" hidden="1" x14ac:dyDescent="0.3">
      <c r="A664" s="33"/>
      <c r="B664" s="119"/>
      <c r="C664" s="120"/>
      <c r="D664" s="118"/>
      <c r="E664" s="42"/>
      <c r="F664" s="96"/>
    </row>
    <row r="665" spans="1:6" s="35" customFormat="1" hidden="1" x14ac:dyDescent="0.3">
      <c r="A665" s="33"/>
      <c r="B665" s="119"/>
      <c r="C665" s="120"/>
      <c r="D665" s="118"/>
      <c r="E665" s="42"/>
      <c r="F665" s="96"/>
    </row>
    <row r="666" spans="1:6" s="35" customFormat="1" hidden="1" x14ac:dyDescent="0.3">
      <c r="A666" s="33"/>
      <c r="B666" s="119"/>
      <c r="C666" s="120"/>
      <c r="D666" s="118"/>
      <c r="E666" s="42"/>
      <c r="F666" s="96"/>
    </row>
    <row r="667" spans="1:6" s="35" customFormat="1" hidden="1" x14ac:dyDescent="0.3">
      <c r="A667" s="33"/>
      <c r="B667" s="119"/>
      <c r="C667" s="120"/>
      <c r="D667" s="118"/>
      <c r="E667" s="42"/>
      <c r="F667" s="96"/>
    </row>
    <row r="668" spans="1:6" s="35" customFormat="1" hidden="1" x14ac:dyDescent="0.3">
      <c r="A668" s="33"/>
      <c r="B668" s="119"/>
      <c r="C668" s="120"/>
      <c r="D668" s="118"/>
      <c r="E668" s="114"/>
      <c r="F668" s="96"/>
    </row>
    <row r="669" spans="1:6" s="35" customFormat="1" hidden="1" x14ac:dyDescent="0.3">
      <c r="A669" s="100"/>
      <c r="B669" s="119"/>
      <c r="C669" s="120"/>
      <c r="D669" s="118"/>
      <c r="E669" s="42"/>
      <c r="F669" s="96"/>
    </row>
    <row r="670" spans="1:6" s="35" customFormat="1" hidden="1" x14ac:dyDescent="0.3">
      <c r="A670" s="33"/>
      <c r="B670" s="119"/>
      <c r="C670" s="120"/>
      <c r="D670" s="118"/>
      <c r="E670" s="42"/>
      <c r="F670" s="96"/>
    </row>
    <row r="671" spans="1:6" s="35" customFormat="1" hidden="1" x14ac:dyDescent="0.3">
      <c r="A671" s="33"/>
      <c r="B671" s="119"/>
      <c r="C671" s="120"/>
      <c r="D671" s="118"/>
      <c r="E671" s="42"/>
      <c r="F671" s="96"/>
    </row>
    <row r="672" spans="1:6" s="35" customFormat="1" hidden="1" x14ac:dyDescent="0.3">
      <c r="A672" s="33"/>
      <c r="B672" s="119"/>
      <c r="C672" s="120"/>
      <c r="D672" s="118"/>
      <c r="E672" s="42"/>
      <c r="F672" s="96"/>
    </row>
    <row r="673" spans="1:6" s="35" customFormat="1" hidden="1" x14ac:dyDescent="0.3">
      <c r="A673" s="33"/>
      <c r="B673" s="119"/>
      <c r="C673" s="120"/>
      <c r="D673" s="118"/>
      <c r="E673" s="21"/>
      <c r="F673" s="96"/>
    </row>
    <row r="674" spans="1:6" s="35" customFormat="1" hidden="1" x14ac:dyDescent="0.3">
      <c r="A674" s="33"/>
      <c r="B674" s="119"/>
      <c r="C674" s="120"/>
      <c r="D674" s="118"/>
      <c r="E674" s="21"/>
      <c r="F674" s="96"/>
    </row>
    <row r="675" spans="1:6" s="35" customFormat="1" hidden="1" x14ac:dyDescent="0.3">
      <c r="A675" s="33"/>
      <c r="B675" s="119"/>
      <c r="C675" s="120"/>
      <c r="D675" s="118"/>
      <c r="E675" s="42"/>
      <c r="F675" s="96"/>
    </row>
    <row r="676" spans="1:6" s="35" customFormat="1" hidden="1" x14ac:dyDescent="0.3">
      <c r="A676" s="100"/>
      <c r="B676" s="119"/>
      <c r="C676" s="120"/>
      <c r="D676" s="118"/>
      <c r="E676" s="114"/>
      <c r="F676" s="96"/>
    </row>
    <row r="677" spans="1:6" s="35" customFormat="1" hidden="1" x14ac:dyDescent="0.3">
      <c r="A677" s="100"/>
      <c r="B677" s="119"/>
      <c r="C677" s="120"/>
      <c r="D677" s="118"/>
      <c r="E677" s="42"/>
      <c r="F677" s="96"/>
    </row>
    <row r="678" spans="1:6" s="35" customFormat="1" hidden="1" x14ac:dyDescent="0.3">
      <c r="A678" s="100"/>
      <c r="B678" s="119"/>
      <c r="C678" s="120"/>
      <c r="D678" s="118"/>
      <c r="E678" s="42"/>
      <c r="F678" s="96"/>
    </row>
    <row r="679" spans="1:6" s="35" customFormat="1" hidden="1" x14ac:dyDescent="0.3">
      <c r="A679" s="100"/>
      <c r="B679" s="119"/>
      <c r="C679" s="120"/>
      <c r="D679" s="118"/>
      <c r="E679" s="42"/>
      <c r="F679" s="96"/>
    </row>
    <row r="680" spans="1:6" s="35" customFormat="1" hidden="1" x14ac:dyDescent="0.3">
      <c r="A680" s="100"/>
      <c r="B680" s="119"/>
      <c r="C680" s="120"/>
      <c r="D680" s="118"/>
      <c r="E680" s="42"/>
      <c r="F680" s="96"/>
    </row>
    <row r="681" spans="1:6" s="35" customFormat="1" hidden="1" x14ac:dyDescent="0.3">
      <c r="A681" s="100"/>
      <c r="B681" s="119"/>
      <c r="C681" s="120"/>
      <c r="D681" s="118"/>
      <c r="E681" s="42"/>
      <c r="F681" s="96"/>
    </row>
    <row r="682" spans="1:6" s="35" customFormat="1" hidden="1" x14ac:dyDescent="0.3">
      <c r="A682" s="100"/>
      <c r="B682" s="119"/>
      <c r="C682" s="120"/>
      <c r="D682" s="118"/>
      <c r="E682" s="119"/>
      <c r="F682" s="96"/>
    </row>
    <row r="683" spans="1:6" s="35" customFormat="1" hidden="1" x14ac:dyDescent="0.3">
      <c r="A683" s="33"/>
      <c r="B683" s="119"/>
      <c r="C683" s="120"/>
      <c r="D683" s="118"/>
      <c r="E683" s="119"/>
      <c r="F683" s="96"/>
    </row>
    <row r="684" spans="1:6" s="35" customFormat="1" hidden="1" x14ac:dyDescent="0.3">
      <c r="A684" s="33"/>
      <c r="B684" s="119"/>
      <c r="C684" s="120"/>
      <c r="D684" s="118"/>
      <c r="E684" s="119"/>
      <c r="F684" s="96"/>
    </row>
    <row r="685" spans="1:6" s="35" customFormat="1" hidden="1" x14ac:dyDescent="0.3">
      <c r="A685" s="33"/>
      <c r="B685" s="119"/>
      <c r="C685" s="120"/>
      <c r="D685" s="118"/>
      <c r="E685" s="119"/>
      <c r="F685" s="96"/>
    </row>
    <row r="686" spans="1:6" s="35" customFormat="1" hidden="1" x14ac:dyDescent="0.3">
      <c r="A686" s="33"/>
      <c r="B686" s="119"/>
      <c r="C686" s="120"/>
      <c r="D686" s="118"/>
      <c r="E686" s="119"/>
      <c r="F686" s="96"/>
    </row>
    <row r="687" spans="1:6" s="35" customFormat="1" hidden="1" x14ac:dyDescent="0.3">
      <c r="A687" s="33"/>
      <c r="B687" s="119"/>
      <c r="C687" s="120"/>
      <c r="D687" s="118"/>
      <c r="E687" s="42"/>
      <c r="F687" s="108"/>
    </row>
    <row r="688" spans="1:6" s="35" customFormat="1" hidden="1" x14ac:dyDescent="0.3">
      <c r="A688" s="33"/>
      <c r="B688" s="119"/>
      <c r="C688" s="109"/>
      <c r="D688" s="118"/>
      <c r="E688" s="42"/>
      <c r="F688" s="96"/>
    </row>
    <row r="689" spans="1:6" s="35" customFormat="1" hidden="1" x14ac:dyDescent="0.3">
      <c r="A689" s="33"/>
      <c r="B689" s="119"/>
      <c r="C689" s="120"/>
      <c r="D689" s="118"/>
      <c r="E689" s="42"/>
      <c r="F689" s="96"/>
    </row>
    <row r="690" spans="1:6" s="35" customFormat="1" hidden="1" x14ac:dyDescent="0.3">
      <c r="A690" s="33"/>
      <c r="B690" s="119"/>
      <c r="C690" s="120"/>
      <c r="D690" s="118"/>
      <c r="E690" s="42"/>
      <c r="F690" s="96"/>
    </row>
    <row r="691" spans="1:6" s="35" customFormat="1" hidden="1" x14ac:dyDescent="0.3">
      <c r="A691" s="33"/>
      <c r="B691" s="119"/>
      <c r="C691" s="120"/>
      <c r="D691" s="118"/>
      <c r="E691" s="42"/>
      <c r="F691" s="96"/>
    </row>
    <row r="692" spans="1:6" s="35" customFormat="1" hidden="1" x14ac:dyDescent="0.3">
      <c r="A692" s="33"/>
      <c r="B692" s="119"/>
      <c r="C692" s="120"/>
      <c r="D692" s="118"/>
      <c r="E692" s="42"/>
      <c r="F692" s="96"/>
    </row>
    <row r="693" spans="1:6" s="35" customFormat="1" hidden="1" x14ac:dyDescent="0.3">
      <c r="A693" s="33"/>
      <c r="B693" s="119"/>
      <c r="C693" s="120"/>
      <c r="D693" s="118"/>
      <c r="E693" s="119"/>
      <c r="F693" s="96"/>
    </row>
    <row r="694" spans="1:6" s="35" customFormat="1" hidden="1" x14ac:dyDescent="0.3">
      <c r="A694" s="33"/>
      <c r="B694" s="119"/>
      <c r="C694" s="120"/>
      <c r="D694" s="118"/>
      <c r="E694" s="42"/>
      <c r="F694" s="96"/>
    </row>
    <row r="695" spans="1:6" s="35" customFormat="1" hidden="1" x14ac:dyDescent="0.3">
      <c r="A695" s="33"/>
      <c r="B695" s="119"/>
      <c r="C695" s="120"/>
      <c r="D695" s="118"/>
      <c r="E695" s="42"/>
      <c r="F695" s="108"/>
    </row>
    <row r="696" spans="1:6" s="35" customFormat="1" hidden="1" x14ac:dyDescent="0.3">
      <c r="A696" s="33"/>
      <c r="B696" s="119"/>
      <c r="C696" s="120"/>
      <c r="D696" s="118"/>
      <c r="E696" s="119"/>
      <c r="F696" s="108"/>
    </row>
    <row r="697" spans="1:6" s="35" customFormat="1" hidden="1" x14ac:dyDescent="0.3">
      <c r="A697" s="33"/>
      <c r="B697" s="119"/>
      <c r="C697" s="120"/>
      <c r="D697" s="118"/>
      <c r="E697" s="42"/>
      <c r="F697" s="108"/>
    </row>
    <row r="698" spans="1:6" s="35" customFormat="1" hidden="1" x14ac:dyDescent="0.3">
      <c r="A698" s="33"/>
      <c r="B698" s="119"/>
      <c r="C698" s="120"/>
      <c r="D698" s="118"/>
      <c r="E698" s="42"/>
      <c r="F698" s="96"/>
    </row>
    <row r="699" spans="1:6" s="35" customFormat="1" hidden="1" x14ac:dyDescent="0.3">
      <c r="A699" s="33"/>
      <c r="B699" s="119"/>
      <c r="C699" s="120"/>
      <c r="D699" s="118"/>
      <c r="E699" s="42"/>
      <c r="F699" s="96"/>
    </row>
    <row r="700" spans="1:6" s="35" customFormat="1" hidden="1" x14ac:dyDescent="0.3">
      <c r="A700" s="33"/>
      <c r="B700" s="119"/>
      <c r="C700" s="120"/>
      <c r="D700" s="118"/>
      <c r="E700" s="42"/>
      <c r="F700" s="96"/>
    </row>
    <row r="701" spans="1:6" s="35" customFormat="1" hidden="1" x14ac:dyDescent="0.3">
      <c r="A701" s="33"/>
      <c r="B701" s="119"/>
      <c r="C701" s="120"/>
      <c r="D701" s="118"/>
      <c r="E701" s="42"/>
      <c r="F701" s="96"/>
    </row>
    <row r="702" spans="1:6" s="35" customFormat="1" hidden="1" x14ac:dyDescent="0.3">
      <c r="A702" s="33"/>
      <c r="B702" s="119"/>
      <c r="C702" s="120"/>
      <c r="D702" s="118"/>
      <c r="E702" s="42"/>
      <c r="F702" s="96"/>
    </row>
    <row r="703" spans="1:6" s="35" customFormat="1" hidden="1" x14ac:dyDescent="0.3">
      <c r="A703" s="33"/>
      <c r="B703" s="119"/>
      <c r="C703" s="120"/>
      <c r="D703" s="118"/>
      <c r="E703" s="42"/>
      <c r="F703" s="96"/>
    </row>
    <row r="704" spans="1:6" s="35" customFormat="1" hidden="1" x14ac:dyDescent="0.3">
      <c r="A704" s="33"/>
      <c r="B704" s="119"/>
      <c r="C704" s="120"/>
      <c r="D704" s="118"/>
      <c r="E704" s="42"/>
      <c r="F704" s="96"/>
    </row>
    <row r="705" spans="1:6" s="35" customFormat="1" hidden="1" x14ac:dyDescent="0.3">
      <c r="A705" s="33"/>
      <c r="B705" s="119"/>
      <c r="C705" s="120"/>
      <c r="D705" s="118"/>
      <c r="E705" s="42"/>
      <c r="F705" s="96"/>
    </row>
    <row r="706" spans="1:6" s="35" customFormat="1" hidden="1" x14ac:dyDescent="0.3">
      <c r="A706" s="33"/>
      <c r="B706" s="119"/>
      <c r="C706" s="120"/>
      <c r="D706" s="118"/>
      <c r="E706" s="42"/>
      <c r="F706" s="96"/>
    </row>
    <row r="707" spans="1:6" s="35" customFormat="1" hidden="1" x14ac:dyDescent="0.3">
      <c r="A707" s="33"/>
      <c r="B707" s="119"/>
      <c r="C707" s="120"/>
      <c r="D707" s="118"/>
      <c r="E707" s="119"/>
      <c r="F707" s="96"/>
    </row>
    <row r="708" spans="1:6" s="35" customFormat="1" hidden="1" x14ac:dyDescent="0.3">
      <c r="A708" s="112"/>
      <c r="B708" s="119"/>
      <c r="C708" s="120"/>
      <c r="D708" s="118"/>
      <c r="E708" s="42"/>
      <c r="F708" s="96"/>
    </row>
    <row r="709" spans="1:6" s="35" customFormat="1" hidden="1" x14ac:dyDescent="0.3">
      <c r="A709" s="112"/>
      <c r="B709" s="119"/>
      <c r="C709" s="120"/>
      <c r="D709" s="118"/>
      <c r="E709" s="42"/>
      <c r="F709" s="96"/>
    </row>
    <row r="710" spans="1:6" s="35" customFormat="1" hidden="1" x14ac:dyDescent="0.3">
      <c r="A710" s="112"/>
      <c r="B710" s="119"/>
      <c r="C710" s="120"/>
      <c r="D710" s="118"/>
      <c r="E710" s="42"/>
      <c r="F710" s="96"/>
    </row>
    <row r="711" spans="1:6" s="35" customFormat="1" hidden="1" x14ac:dyDescent="0.3">
      <c r="A711" s="112"/>
      <c r="B711" s="119"/>
      <c r="C711" s="120"/>
      <c r="D711" s="118"/>
      <c r="E711" s="42"/>
      <c r="F711" s="96"/>
    </row>
    <row r="712" spans="1:6" s="35" customFormat="1" hidden="1" x14ac:dyDescent="0.3">
      <c r="A712" s="112"/>
      <c r="B712" s="119"/>
      <c r="C712" s="120"/>
      <c r="D712" s="118"/>
      <c r="E712" s="42"/>
      <c r="F712" s="96"/>
    </row>
    <row r="713" spans="1:6" s="35" customFormat="1" hidden="1" x14ac:dyDescent="0.3">
      <c r="A713" s="112"/>
      <c r="B713" s="119"/>
      <c r="C713" s="120"/>
      <c r="D713" s="118"/>
      <c r="E713" s="42"/>
      <c r="F713" s="96"/>
    </row>
    <row r="714" spans="1:6" s="35" customFormat="1" hidden="1" x14ac:dyDescent="0.3">
      <c r="A714" s="112"/>
      <c r="B714" s="119"/>
      <c r="C714" s="120"/>
      <c r="D714" s="118"/>
      <c r="E714" s="42"/>
      <c r="F714" s="96"/>
    </row>
    <row r="715" spans="1:6" s="35" customFormat="1" hidden="1" x14ac:dyDescent="0.3">
      <c r="A715" s="112"/>
      <c r="B715" s="119"/>
      <c r="C715" s="120"/>
      <c r="D715" s="118"/>
      <c r="E715" s="42"/>
      <c r="F715" s="96"/>
    </row>
    <row r="716" spans="1:6" s="35" customFormat="1" hidden="1" x14ac:dyDescent="0.3">
      <c r="A716" s="112"/>
      <c r="B716" s="119"/>
      <c r="C716" s="120"/>
      <c r="D716" s="118"/>
      <c r="E716" s="42"/>
      <c r="F716" s="96"/>
    </row>
    <row r="717" spans="1:6" s="35" customFormat="1" hidden="1" x14ac:dyDescent="0.3">
      <c r="A717" s="33"/>
      <c r="B717" s="119"/>
      <c r="C717" s="120"/>
      <c r="D717" s="118"/>
      <c r="E717" s="42"/>
      <c r="F717" s="96"/>
    </row>
    <row r="718" spans="1:6" s="35" customFormat="1" hidden="1" x14ac:dyDescent="0.3">
      <c r="A718" s="33"/>
      <c r="B718" s="119"/>
      <c r="C718" s="120"/>
      <c r="D718" s="118"/>
      <c r="E718" s="42"/>
      <c r="F718" s="96"/>
    </row>
    <row r="719" spans="1:6" s="35" customFormat="1" hidden="1" x14ac:dyDescent="0.3">
      <c r="A719" s="33"/>
      <c r="B719" s="119"/>
      <c r="C719" s="120"/>
      <c r="D719" s="118"/>
      <c r="E719" s="42"/>
      <c r="F719" s="96"/>
    </row>
    <row r="720" spans="1:6" s="35" customFormat="1" hidden="1" x14ac:dyDescent="0.3">
      <c r="A720" s="33"/>
      <c r="B720" s="119"/>
      <c r="C720" s="120"/>
      <c r="D720" s="118"/>
      <c r="E720" s="42"/>
      <c r="F720" s="96"/>
    </row>
    <row r="721" spans="1:6" s="35" customFormat="1" hidden="1" x14ac:dyDescent="0.3">
      <c r="A721" s="33"/>
      <c r="B721" s="119"/>
      <c r="C721" s="120"/>
      <c r="D721" s="118"/>
      <c r="E721" s="42"/>
      <c r="F721" s="96"/>
    </row>
    <row r="722" spans="1:6" s="35" customFormat="1" hidden="1" x14ac:dyDescent="0.3">
      <c r="A722" s="33"/>
      <c r="B722" s="119"/>
      <c r="C722" s="120"/>
      <c r="D722" s="118"/>
      <c r="E722" s="42"/>
      <c r="F722" s="96"/>
    </row>
    <row r="723" spans="1:6" s="35" customFormat="1" hidden="1" x14ac:dyDescent="0.3">
      <c r="A723" s="33"/>
      <c r="B723" s="119"/>
      <c r="C723" s="120"/>
      <c r="D723" s="118"/>
      <c r="E723" s="42"/>
      <c r="F723" s="96"/>
    </row>
    <row r="724" spans="1:6" s="35" customFormat="1" hidden="1" x14ac:dyDescent="0.3">
      <c r="A724" s="33"/>
      <c r="B724" s="119"/>
      <c r="C724" s="120"/>
      <c r="D724" s="118"/>
      <c r="E724" s="55"/>
      <c r="F724" s="96"/>
    </row>
    <row r="725" spans="1:6" s="35" customFormat="1" hidden="1" x14ac:dyDescent="0.3">
      <c r="A725" s="33"/>
      <c r="B725" s="119"/>
      <c r="C725" s="120"/>
      <c r="D725" s="118"/>
      <c r="E725" s="55"/>
      <c r="F725" s="96"/>
    </row>
    <row r="726" spans="1:6" s="35" customFormat="1" hidden="1" x14ac:dyDescent="0.3">
      <c r="A726" s="33"/>
      <c r="B726" s="119"/>
      <c r="C726" s="120"/>
      <c r="D726" s="118"/>
      <c r="E726" s="42"/>
      <c r="F726" s="96"/>
    </row>
    <row r="727" spans="1:6" s="35" customFormat="1" hidden="1" x14ac:dyDescent="0.3">
      <c r="A727" s="33"/>
      <c r="B727" s="119"/>
      <c r="C727" s="120"/>
      <c r="D727" s="118"/>
      <c r="E727" s="55"/>
      <c r="F727" s="96"/>
    </row>
    <row r="728" spans="1:6" s="35" customFormat="1" hidden="1" x14ac:dyDescent="0.3">
      <c r="A728" s="33"/>
      <c r="B728" s="119"/>
      <c r="C728" s="120"/>
      <c r="D728" s="118"/>
      <c r="E728" s="42"/>
      <c r="F728" s="96"/>
    </row>
    <row r="729" spans="1:6" s="35" customFormat="1" hidden="1" x14ac:dyDescent="0.3">
      <c r="A729" s="33"/>
      <c r="B729" s="119"/>
      <c r="C729" s="120"/>
      <c r="D729" s="118"/>
      <c r="E729" s="42"/>
      <c r="F729" s="96"/>
    </row>
    <row r="730" spans="1:6" s="35" customFormat="1" hidden="1" x14ac:dyDescent="0.3">
      <c r="A730" s="33"/>
      <c r="B730" s="119"/>
      <c r="C730" s="120"/>
      <c r="D730" s="118"/>
      <c r="E730" s="42"/>
      <c r="F730" s="96"/>
    </row>
    <row r="731" spans="1:6" s="35" customFormat="1" hidden="1" x14ac:dyDescent="0.3">
      <c r="A731" s="33"/>
      <c r="B731" s="119"/>
      <c r="C731" s="120"/>
      <c r="D731" s="118"/>
      <c r="E731" s="42"/>
      <c r="F731" s="96"/>
    </row>
    <row r="732" spans="1:6" s="35" customFormat="1" hidden="1" x14ac:dyDescent="0.3">
      <c r="A732" s="33"/>
      <c r="B732" s="119"/>
      <c r="C732" s="120"/>
      <c r="D732" s="118"/>
      <c r="E732" s="42"/>
      <c r="F732" s="96"/>
    </row>
    <row r="733" spans="1:6" s="35" customFormat="1" hidden="1" x14ac:dyDescent="0.3">
      <c r="A733" s="33"/>
      <c r="B733" s="119"/>
      <c r="C733" s="120"/>
      <c r="D733" s="118"/>
      <c r="E733" s="21"/>
      <c r="F733" s="111"/>
    </row>
    <row r="734" spans="1:6" s="35" customFormat="1" hidden="1" x14ac:dyDescent="0.3">
      <c r="A734" s="33"/>
      <c r="B734" s="119"/>
      <c r="C734" s="120"/>
      <c r="D734" s="118"/>
      <c r="E734" s="42"/>
      <c r="F734" s="96"/>
    </row>
    <row r="735" spans="1:6" s="35" customFormat="1" hidden="1" x14ac:dyDescent="0.3">
      <c r="A735" s="33"/>
      <c r="B735" s="119"/>
      <c r="C735" s="120"/>
      <c r="D735" s="118"/>
      <c r="E735" s="42"/>
      <c r="F735" s="96"/>
    </row>
    <row r="736" spans="1:6" s="35" customFormat="1" hidden="1" x14ac:dyDescent="0.3">
      <c r="A736" s="33"/>
      <c r="B736" s="119"/>
      <c r="C736" s="120"/>
      <c r="D736" s="118"/>
      <c r="E736" s="42"/>
      <c r="F736" s="96"/>
    </row>
    <row r="737" spans="1:6" s="35" customFormat="1" hidden="1" x14ac:dyDescent="0.3">
      <c r="A737" s="33"/>
      <c r="B737" s="119"/>
      <c r="C737" s="120"/>
      <c r="D737" s="118"/>
      <c r="E737" s="42"/>
      <c r="F737" s="96"/>
    </row>
    <row r="738" spans="1:6" s="35" customFormat="1" hidden="1" x14ac:dyDescent="0.3">
      <c r="A738" s="33"/>
      <c r="B738" s="119"/>
      <c r="C738" s="120"/>
      <c r="D738" s="118"/>
      <c r="E738" s="42"/>
      <c r="F738" s="96"/>
    </row>
    <row r="739" spans="1:6" s="35" customFormat="1" hidden="1" x14ac:dyDescent="0.3">
      <c r="A739" s="33"/>
      <c r="B739" s="119"/>
      <c r="C739" s="120"/>
      <c r="D739" s="118"/>
      <c r="E739" s="42"/>
      <c r="F739" s="96"/>
    </row>
    <row r="740" spans="1:6" s="35" customFormat="1" hidden="1" x14ac:dyDescent="0.3">
      <c r="A740" s="33"/>
      <c r="B740" s="119"/>
      <c r="C740" s="120"/>
      <c r="D740" s="118"/>
      <c r="E740" s="119"/>
      <c r="F740" s="96"/>
    </row>
    <row r="741" spans="1:6" s="35" customFormat="1" hidden="1" x14ac:dyDescent="0.3">
      <c r="A741" s="33"/>
      <c r="B741" s="119"/>
      <c r="C741" s="120"/>
      <c r="D741" s="118"/>
      <c r="E741" s="42"/>
      <c r="F741" s="96"/>
    </row>
    <row r="742" spans="1:6" s="35" customFormat="1" hidden="1" x14ac:dyDescent="0.3">
      <c r="A742" s="33"/>
      <c r="B742" s="89"/>
      <c r="C742" s="120"/>
      <c r="D742" s="118"/>
      <c r="E742" s="42"/>
      <c r="F742" s="96"/>
    </row>
    <row r="743" spans="1:6" s="35" customFormat="1" hidden="1" x14ac:dyDescent="0.3">
      <c r="A743" s="33"/>
      <c r="B743" s="89"/>
      <c r="C743" s="120"/>
      <c r="D743" s="118"/>
      <c r="E743" s="119"/>
      <c r="F743" s="96"/>
    </row>
    <row r="744" spans="1:6" s="35" customFormat="1" hidden="1" x14ac:dyDescent="0.3">
      <c r="A744" s="33"/>
      <c r="B744" s="89"/>
      <c r="C744" s="120"/>
      <c r="D744" s="118"/>
      <c r="E744" s="42"/>
      <c r="F744" s="96"/>
    </row>
    <row r="745" spans="1:6" s="35" customFormat="1" hidden="1" x14ac:dyDescent="0.3">
      <c r="A745" s="110"/>
      <c r="B745" s="89"/>
      <c r="C745" s="120"/>
      <c r="D745" s="118"/>
      <c r="E745" s="42"/>
      <c r="F745" s="96"/>
    </row>
    <row r="746" spans="1:6" s="35" customFormat="1" hidden="1" x14ac:dyDescent="0.3">
      <c r="A746" s="110"/>
      <c r="B746" s="89"/>
      <c r="C746" s="120"/>
      <c r="D746" s="118"/>
      <c r="E746" s="42"/>
      <c r="F746" s="96"/>
    </row>
    <row r="747" spans="1:6" s="35" customFormat="1" hidden="1" x14ac:dyDescent="0.3">
      <c r="A747" s="110"/>
      <c r="B747" s="89"/>
      <c r="C747" s="120"/>
      <c r="D747" s="118"/>
      <c r="E747" s="42"/>
      <c r="F747" s="96"/>
    </row>
    <row r="748" spans="1:6" s="35" customFormat="1" hidden="1" x14ac:dyDescent="0.3">
      <c r="A748" s="110"/>
      <c r="B748" s="89"/>
      <c r="C748" s="120"/>
      <c r="D748" s="118"/>
      <c r="E748" s="42"/>
      <c r="F748" s="96"/>
    </row>
    <row r="749" spans="1:6" s="35" customFormat="1" hidden="1" x14ac:dyDescent="0.3">
      <c r="A749" s="110"/>
      <c r="B749" s="89"/>
      <c r="C749" s="120"/>
      <c r="D749" s="118"/>
      <c r="E749" s="42"/>
      <c r="F749" s="96"/>
    </row>
    <row r="750" spans="1:6" s="35" customFormat="1" hidden="1" x14ac:dyDescent="0.3">
      <c r="A750" s="110"/>
      <c r="B750" s="89"/>
      <c r="C750" s="120"/>
      <c r="D750" s="118"/>
      <c r="E750" s="42"/>
      <c r="F750" s="96"/>
    </row>
    <row r="751" spans="1:6" s="35" customFormat="1" hidden="1" x14ac:dyDescent="0.3">
      <c r="A751" s="110"/>
      <c r="B751" s="89"/>
      <c r="C751" s="120"/>
      <c r="D751" s="118"/>
      <c r="E751" s="42"/>
      <c r="F751" s="96"/>
    </row>
    <row r="752" spans="1:6" s="35" customFormat="1" hidden="1" x14ac:dyDescent="0.3">
      <c r="A752" s="110"/>
      <c r="B752" s="89"/>
      <c r="C752" s="120"/>
      <c r="D752" s="118"/>
      <c r="E752" s="42"/>
      <c r="F752" s="96"/>
    </row>
    <row r="753" spans="1:6" s="35" customFormat="1" hidden="1" x14ac:dyDescent="0.3">
      <c r="A753" s="110"/>
      <c r="B753" s="89"/>
      <c r="C753" s="120"/>
      <c r="D753" s="118"/>
      <c r="E753" s="42"/>
      <c r="F753" s="96"/>
    </row>
    <row r="754" spans="1:6" s="35" customFormat="1" hidden="1" x14ac:dyDescent="0.3">
      <c r="A754" s="110"/>
      <c r="B754" s="89"/>
      <c r="C754" s="120"/>
      <c r="D754" s="118"/>
      <c r="E754" s="42"/>
      <c r="F754" s="96"/>
    </row>
    <row r="755" spans="1:6" s="35" customFormat="1" hidden="1" x14ac:dyDescent="0.3">
      <c r="A755" s="110"/>
      <c r="B755" s="89"/>
      <c r="C755" s="120"/>
      <c r="D755" s="118"/>
      <c r="E755" s="42"/>
      <c r="F755" s="96"/>
    </row>
    <row r="756" spans="1:6" s="35" customFormat="1" hidden="1" x14ac:dyDescent="0.3">
      <c r="A756" s="110"/>
      <c r="B756" s="89"/>
      <c r="C756" s="120"/>
      <c r="D756" s="118"/>
      <c r="E756" s="42"/>
      <c r="F756" s="96"/>
    </row>
    <row r="757" spans="1:6" s="35" customFormat="1" hidden="1" x14ac:dyDescent="0.3">
      <c r="A757" s="110"/>
      <c r="B757" s="89"/>
      <c r="C757" s="120"/>
      <c r="D757" s="118"/>
      <c r="E757" s="42"/>
      <c r="F757" s="96"/>
    </row>
    <row r="758" spans="1:6" s="35" customFormat="1" hidden="1" x14ac:dyDescent="0.3">
      <c r="A758" s="110"/>
      <c r="B758" s="89"/>
      <c r="C758" s="120"/>
      <c r="D758" s="118"/>
      <c r="E758" s="42"/>
      <c r="F758" s="96"/>
    </row>
    <row r="759" spans="1:6" s="35" customFormat="1" hidden="1" x14ac:dyDescent="0.3">
      <c r="A759" s="110"/>
      <c r="B759" s="89"/>
      <c r="C759" s="120"/>
      <c r="D759" s="118"/>
      <c r="E759" s="42"/>
      <c r="F759" s="96"/>
    </row>
    <row r="760" spans="1:6" s="35" customFormat="1" hidden="1" x14ac:dyDescent="0.3">
      <c r="A760" s="110"/>
      <c r="B760" s="89"/>
      <c r="C760" s="120"/>
      <c r="D760" s="118"/>
      <c r="E760" s="42"/>
      <c r="F760" s="96"/>
    </row>
    <row r="761" spans="1:6" s="35" customFormat="1" hidden="1" x14ac:dyDescent="0.3">
      <c r="A761" s="110"/>
      <c r="B761" s="89"/>
      <c r="C761" s="120"/>
      <c r="D761" s="118"/>
      <c r="E761" s="42"/>
      <c r="F761" s="96"/>
    </row>
    <row r="762" spans="1:6" s="35" customFormat="1" hidden="1" x14ac:dyDescent="0.3">
      <c r="A762" s="33"/>
      <c r="B762" s="119"/>
      <c r="C762" s="120"/>
      <c r="D762" s="118"/>
      <c r="E762" s="42"/>
      <c r="F762" s="96"/>
    </row>
    <row r="763" spans="1:6" s="35" customFormat="1" hidden="1" x14ac:dyDescent="0.3">
      <c r="A763" s="33"/>
      <c r="B763" s="119"/>
      <c r="C763" s="120"/>
      <c r="D763" s="118"/>
      <c r="E763" s="42"/>
      <c r="F763" s="96"/>
    </row>
    <row r="764" spans="1:6" s="35" customFormat="1" hidden="1" x14ac:dyDescent="0.3">
      <c r="A764" s="33"/>
      <c r="B764" s="119"/>
      <c r="C764" s="120"/>
      <c r="D764" s="118"/>
      <c r="E764" s="42"/>
      <c r="F764" s="96"/>
    </row>
    <row r="765" spans="1:6" s="35" customFormat="1" hidden="1" x14ac:dyDescent="0.3">
      <c r="A765" s="33"/>
      <c r="B765" s="119"/>
      <c r="C765" s="120"/>
      <c r="D765" s="118"/>
      <c r="E765" s="42"/>
      <c r="F765" s="96"/>
    </row>
    <row r="766" spans="1:6" s="35" customFormat="1" hidden="1" x14ac:dyDescent="0.3">
      <c r="A766" s="33"/>
      <c r="B766" s="119"/>
      <c r="C766" s="120"/>
      <c r="D766" s="118"/>
      <c r="E766" s="55"/>
      <c r="F766" s="96"/>
    </row>
    <row r="767" spans="1:6" s="35" customFormat="1" hidden="1" x14ac:dyDescent="0.3">
      <c r="A767" s="33"/>
      <c r="B767" s="119"/>
      <c r="C767" s="120"/>
      <c r="D767" s="118"/>
      <c r="E767" s="55"/>
      <c r="F767" s="96"/>
    </row>
    <row r="768" spans="1:6" s="35" customFormat="1" hidden="1" x14ac:dyDescent="0.3">
      <c r="A768" s="33"/>
      <c r="B768" s="119"/>
      <c r="C768" s="120"/>
      <c r="D768" s="118"/>
      <c r="E768" s="55"/>
      <c r="F768" s="96"/>
    </row>
    <row r="769" spans="1:6" s="35" customFormat="1" hidden="1" x14ac:dyDescent="0.3">
      <c r="A769" s="33"/>
      <c r="B769" s="119"/>
      <c r="C769" s="120"/>
      <c r="D769" s="118"/>
      <c r="E769" s="42"/>
      <c r="F769" s="96"/>
    </row>
    <row r="770" spans="1:6" s="35" customFormat="1" hidden="1" x14ac:dyDescent="0.3">
      <c r="A770" s="33"/>
      <c r="B770" s="119"/>
      <c r="C770" s="120"/>
      <c r="D770" s="118"/>
      <c r="E770" s="42"/>
      <c r="F770" s="108"/>
    </row>
    <row r="771" spans="1:6" s="35" customFormat="1" hidden="1" x14ac:dyDescent="0.3">
      <c r="A771" s="33"/>
      <c r="B771" s="119"/>
      <c r="C771" s="120"/>
      <c r="D771" s="118"/>
      <c r="E771" s="42"/>
      <c r="F771" s="108"/>
    </row>
    <row r="772" spans="1:6" s="35" customFormat="1" hidden="1" x14ac:dyDescent="0.3">
      <c r="A772" s="33"/>
      <c r="B772" s="119"/>
      <c r="C772" s="120"/>
      <c r="D772" s="118"/>
      <c r="E772" s="42"/>
      <c r="F772" s="96"/>
    </row>
    <row r="773" spans="1:6" s="35" customFormat="1" hidden="1" x14ac:dyDescent="0.3">
      <c r="A773" s="33"/>
      <c r="B773" s="119"/>
      <c r="C773" s="120"/>
      <c r="D773" s="118"/>
      <c r="E773" s="42"/>
      <c r="F773" s="96"/>
    </row>
    <row r="774" spans="1:6" s="35" customFormat="1" hidden="1" x14ac:dyDescent="0.3">
      <c r="A774" s="33"/>
      <c r="B774" s="119"/>
      <c r="C774" s="120"/>
      <c r="D774" s="118"/>
      <c r="E774" s="42"/>
      <c r="F774" s="96"/>
    </row>
    <row r="775" spans="1:6" s="35" customFormat="1" hidden="1" x14ac:dyDescent="0.3">
      <c r="A775" s="33"/>
      <c r="B775" s="119"/>
      <c r="C775" s="120"/>
      <c r="D775" s="118"/>
      <c r="E775" s="42"/>
      <c r="F775" s="96"/>
    </row>
    <row r="776" spans="1:6" s="35" customFormat="1" hidden="1" x14ac:dyDescent="0.3">
      <c r="A776" s="33"/>
      <c r="B776" s="119"/>
      <c r="C776" s="120"/>
      <c r="D776" s="118"/>
      <c r="E776" s="42"/>
      <c r="F776" s="96"/>
    </row>
    <row r="777" spans="1:6" s="35" customFormat="1" hidden="1" x14ac:dyDescent="0.3">
      <c r="A777" s="33"/>
      <c r="B777" s="119"/>
      <c r="C777" s="120"/>
      <c r="D777" s="118"/>
      <c r="E777" s="42"/>
      <c r="F777" s="96"/>
    </row>
    <row r="778" spans="1:6" s="35" customFormat="1" hidden="1" x14ac:dyDescent="0.3">
      <c r="A778" s="33"/>
      <c r="B778" s="119"/>
      <c r="C778" s="120"/>
      <c r="D778" s="118"/>
      <c r="E778" s="42"/>
      <c r="F778" s="96"/>
    </row>
    <row r="779" spans="1:6" s="35" customFormat="1" hidden="1" x14ac:dyDescent="0.3">
      <c r="A779" s="33"/>
      <c r="B779" s="119"/>
      <c r="C779" s="120"/>
      <c r="D779" s="118"/>
      <c r="E779" s="42"/>
      <c r="F779" s="96"/>
    </row>
    <row r="780" spans="1:6" s="35" customFormat="1" hidden="1" x14ac:dyDescent="0.3">
      <c r="A780" s="33"/>
      <c r="B780" s="119"/>
      <c r="C780" s="120"/>
      <c r="D780" s="118"/>
      <c r="E780" s="42"/>
      <c r="F780" s="96"/>
    </row>
    <row r="781" spans="1:6" s="35" customFormat="1" hidden="1" x14ac:dyDescent="0.3">
      <c r="A781" s="33"/>
      <c r="B781" s="119"/>
      <c r="C781" s="120"/>
      <c r="D781" s="120"/>
      <c r="E781" s="42"/>
      <c r="F781" s="96"/>
    </row>
    <row r="782" spans="1:6" s="35" customFormat="1" hidden="1" x14ac:dyDescent="0.3">
      <c r="A782" s="33"/>
      <c r="B782" s="119"/>
      <c r="C782" s="120"/>
      <c r="D782" s="120"/>
      <c r="E782" s="42"/>
      <c r="F782" s="96"/>
    </row>
    <row r="783" spans="1:6" s="35" customFormat="1" hidden="1" x14ac:dyDescent="0.3">
      <c r="A783" s="33"/>
      <c r="B783" s="119"/>
      <c r="C783" s="120"/>
      <c r="D783" s="120"/>
      <c r="E783" s="42"/>
      <c r="F783" s="96"/>
    </row>
    <row r="784" spans="1:6" s="35" customFormat="1" hidden="1" x14ac:dyDescent="0.3">
      <c r="A784" s="33"/>
      <c r="B784" s="119"/>
      <c r="C784" s="120"/>
      <c r="D784" s="120"/>
      <c r="E784" s="42"/>
      <c r="F784" s="96"/>
    </row>
    <row r="785" spans="1:6" s="35" customFormat="1" hidden="1" x14ac:dyDescent="0.3">
      <c r="A785" s="33"/>
      <c r="B785" s="119"/>
      <c r="C785" s="120"/>
      <c r="D785" s="120"/>
      <c r="E785" s="42"/>
      <c r="F785" s="96"/>
    </row>
    <row r="786" spans="1:6" s="35" customFormat="1" hidden="1" x14ac:dyDescent="0.3">
      <c r="A786" s="33"/>
      <c r="B786" s="119"/>
      <c r="C786" s="120"/>
      <c r="D786" s="118"/>
      <c r="E786" s="119"/>
      <c r="F786" s="96"/>
    </row>
    <row r="787" spans="1:6" s="35" customFormat="1" hidden="1" x14ac:dyDescent="0.3">
      <c r="A787" s="50"/>
      <c r="B787" s="119"/>
      <c r="C787" s="120"/>
      <c r="D787" s="118"/>
      <c r="E787" s="42"/>
      <c r="F787" s="96"/>
    </row>
    <row r="788" spans="1:6" s="35" customFormat="1" hidden="1" x14ac:dyDescent="0.3">
      <c r="A788" s="33"/>
      <c r="B788" s="119"/>
      <c r="C788" s="120"/>
      <c r="D788" s="118"/>
      <c r="E788" s="42"/>
      <c r="F788" s="96"/>
    </row>
    <row r="789" spans="1:6" s="35" customFormat="1" hidden="1" x14ac:dyDescent="0.3">
      <c r="A789" s="33"/>
      <c r="B789" s="119"/>
      <c r="C789" s="120"/>
      <c r="D789" s="118"/>
      <c r="E789" s="42"/>
      <c r="F789" s="96"/>
    </row>
    <row r="790" spans="1:6" s="35" customFormat="1" hidden="1" x14ac:dyDescent="0.3">
      <c r="A790" s="33"/>
      <c r="B790" s="119"/>
      <c r="C790" s="120"/>
      <c r="D790" s="118"/>
      <c r="E790" s="42"/>
      <c r="F790" s="96"/>
    </row>
    <row r="791" spans="1:6" s="35" customFormat="1" hidden="1" x14ac:dyDescent="0.3">
      <c r="A791" s="33"/>
      <c r="B791" s="119"/>
      <c r="C791" s="120"/>
      <c r="D791" s="118"/>
      <c r="E791" s="42"/>
      <c r="F791" s="96"/>
    </row>
    <row r="792" spans="1:6" s="35" customFormat="1" hidden="1" x14ac:dyDescent="0.3">
      <c r="A792" s="33"/>
      <c r="B792" s="119"/>
      <c r="C792" s="120"/>
      <c r="D792" s="118"/>
      <c r="E792" s="42"/>
      <c r="F792" s="96"/>
    </row>
    <row r="793" spans="1:6" s="35" customFormat="1" hidden="1" x14ac:dyDescent="0.3">
      <c r="A793" s="50"/>
      <c r="B793" s="109"/>
      <c r="C793" s="120"/>
      <c r="D793" s="118"/>
      <c r="E793" s="42"/>
      <c r="F793" s="96"/>
    </row>
    <row r="794" spans="1:6" s="35" customFormat="1" hidden="1" x14ac:dyDescent="0.3">
      <c r="A794" s="33"/>
      <c r="B794" s="119"/>
      <c r="C794" s="120"/>
      <c r="D794" s="118"/>
      <c r="E794" s="42"/>
      <c r="F794" s="96"/>
    </row>
    <row r="795" spans="1:6" s="35" customFormat="1" hidden="1" x14ac:dyDescent="0.3">
      <c r="A795" s="33"/>
      <c r="B795" s="109"/>
      <c r="C795" s="120"/>
      <c r="D795" s="118"/>
      <c r="E795" s="42"/>
      <c r="F795" s="96"/>
    </row>
    <row r="796" spans="1:6" s="35" customFormat="1" hidden="1" x14ac:dyDescent="0.3">
      <c r="A796" s="33"/>
      <c r="B796" s="119"/>
      <c r="C796" s="120"/>
      <c r="D796" s="118"/>
      <c r="E796" s="42"/>
      <c r="F796" s="96"/>
    </row>
    <row r="797" spans="1:6" s="35" customFormat="1" hidden="1" x14ac:dyDescent="0.3">
      <c r="A797" s="33"/>
      <c r="B797" s="119"/>
      <c r="C797" s="120"/>
      <c r="D797" s="118"/>
      <c r="E797" s="42"/>
      <c r="F797" s="96"/>
    </row>
    <row r="798" spans="1:6" hidden="1" x14ac:dyDescent="0.3">
      <c r="A798" s="33"/>
      <c r="B798" s="119"/>
      <c r="C798" s="120"/>
      <c r="D798" s="118"/>
      <c r="E798" s="42"/>
      <c r="F798" s="96"/>
    </row>
  </sheetData>
  <autoFilter ref="A3:F798" xr:uid="{00000000-0009-0000-0000-000001000000}">
    <filterColumn colId="1">
      <filters>
        <filter val="Masi Bonacosta Valpolicella Classico Doc"/>
        <filter val="Masi Campofiorin"/>
        <filter val="Masi Campofiorin IGT"/>
        <filter val="Masi Costasera Amarone Classico"/>
        <filter val="Masi Masianco Pinot Grigio"/>
        <filter val="Masi Modello Merlot Trevenezie IGT"/>
        <filter val="Masi Modello Pinot Grigio Delle Venezie DOC"/>
      </filters>
    </filterColumn>
  </autoFilter>
  <printOptions gridLines="1"/>
  <pageMargins left="0" right="0" top="0.5" bottom="0.5" header="0.3" footer="0.3"/>
  <pageSetup paperSize="5" scale="86" fitToWidth="0" fitToHeight="0" orientation="landscape" horizontalDpi="300" verticalDpi="300" r:id="rId1"/>
  <headerFooter>
    <oddHeader>&amp;R&amp;D</oddHeader>
  </headerFooter>
  <ignoredErrors>
    <ignoredError sqref="C440:C441 C443 C401:C403 C196:C198 A168:XFD169 C173 C145:C146 C141 C7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F386"/>
  <sheetViews>
    <sheetView zoomScale="80" zoomScaleNormal="80" workbookViewId="0">
      <selection activeCell="A37" sqref="A37"/>
    </sheetView>
  </sheetViews>
  <sheetFormatPr defaultColWidth="9.09765625" defaultRowHeight="14" x14ac:dyDescent="0.3"/>
  <cols>
    <col min="1" max="1" width="10.3984375" style="4" customWidth="1"/>
    <col min="2" max="2" width="54.3984375" style="64" bestFit="1" customWidth="1"/>
    <col min="3" max="3" width="18.09765625" style="23" customWidth="1"/>
    <col min="4" max="4" width="8.8984375" style="4" customWidth="1"/>
    <col min="5" max="5" width="100" style="64" customWidth="1"/>
    <col min="6" max="6" width="16.8984375" style="1" bestFit="1" customWidth="1"/>
    <col min="7" max="7" width="11.3984375" style="64" customWidth="1"/>
    <col min="8" max="16384" width="9.09765625" style="64"/>
  </cols>
  <sheetData>
    <row r="1" spans="1:6" ht="18" customHeight="1" x14ac:dyDescent="0.3">
      <c r="A1" s="28" t="s">
        <v>0</v>
      </c>
      <c r="D1" s="116"/>
    </row>
    <row r="2" spans="1:6" ht="18" customHeight="1" x14ac:dyDescent="0.3">
      <c r="A2" s="28"/>
      <c r="D2" s="116"/>
    </row>
    <row r="3" spans="1:6" ht="27.95" x14ac:dyDescent="0.3">
      <c r="A3" s="27" t="s">
        <v>1</v>
      </c>
      <c r="B3" s="92" t="s">
        <v>2</v>
      </c>
      <c r="C3" s="92" t="s">
        <v>23</v>
      </c>
      <c r="D3" s="92" t="s">
        <v>3</v>
      </c>
      <c r="E3" s="113" t="s">
        <v>17</v>
      </c>
      <c r="F3" s="93" t="s">
        <v>4</v>
      </c>
    </row>
    <row r="4" spans="1:6" s="35" customFormat="1" hidden="1" x14ac:dyDescent="0.3">
      <c r="A4" s="33">
        <v>383901</v>
      </c>
      <c r="B4" s="119" t="s">
        <v>2599</v>
      </c>
      <c r="C4" s="133">
        <v>736886811224</v>
      </c>
      <c r="D4" s="100" t="s">
        <v>202</v>
      </c>
      <c r="E4" s="132" t="s">
        <v>2685</v>
      </c>
      <c r="F4" s="96" t="s">
        <v>860</v>
      </c>
    </row>
    <row r="5" spans="1:6" s="35" customFormat="1" ht="27.95" hidden="1" x14ac:dyDescent="0.3">
      <c r="A5" s="85">
        <v>156240</v>
      </c>
      <c r="B5" s="119" t="s">
        <v>2679</v>
      </c>
      <c r="C5" s="117">
        <v>874537035145</v>
      </c>
      <c r="D5" s="100" t="s">
        <v>496</v>
      </c>
      <c r="E5" s="55" t="s">
        <v>2680</v>
      </c>
      <c r="F5" s="96">
        <v>43823</v>
      </c>
    </row>
    <row r="6" spans="1:6" s="35" customFormat="1" ht="27.95" hidden="1" x14ac:dyDescent="0.3">
      <c r="A6" s="85">
        <v>456582</v>
      </c>
      <c r="B6" s="119" t="s">
        <v>2682</v>
      </c>
      <c r="C6" s="117">
        <v>874537364146</v>
      </c>
      <c r="D6" s="100" t="s">
        <v>202</v>
      </c>
      <c r="E6" s="55" t="s">
        <v>2681</v>
      </c>
      <c r="F6" s="96">
        <v>43823</v>
      </c>
    </row>
    <row r="7" spans="1:6" s="35" customFormat="1" ht="27.95" hidden="1" x14ac:dyDescent="0.3">
      <c r="A7" s="85">
        <v>53934</v>
      </c>
      <c r="B7" s="119" t="s">
        <v>2684</v>
      </c>
      <c r="C7" s="117">
        <v>874537076148</v>
      </c>
      <c r="D7" s="100" t="s">
        <v>496</v>
      </c>
      <c r="E7" s="55" t="s">
        <v>2683</v>
      </c>
      <c r="F7" s="96">
        <v>43823</v>
      </c>
    </row>
    <row r="8" spans="1:6" s="35" customFormat="1" x14ac:dyDescent="0.3">
      <c r="A8" s="50" t="s">
        <v>2676</v>
      </c>
      <c r="B8" s="119" t="s">
        <v>2677</v>
      </c>
      <c r="C8" s="120" t="s">
        <v>2678</v>
      </c>
      <c r="D8" s="100" t="s">
        <v>496</v>
      </c>
      <c r="E8" s="132" t="s">
        <v>5</v>
      </c>
      <c r="F8" s="96" t="s">
        <v>860</v>
      </c>
    </row>
    <row r="9" spans="1:6" s="35" customFormat="1" hidden="1" x14ac:dyDescent="0.3">
      <c r="A9" s="33">
        <v>388603</v>
      </c>
      <c r="B9" s="119" t="s">
        <v>2674</v>
      </c>
      <c r="C9" s="120" t="s">
        <v>2675</v>
      </c>
      <c r="D9" s="100" t="s">
        <v>202</v>
      </c>
      <c r="E9" s="132" t="s">
        <v>5</v>
      </c>
      <c r="F9" s="96" t="s">
        <v>860</v>
      </c>
    </row>
    <row r="10" spans="1:6" s="35" customFormat="1" hidden="1" x14ac:dyDescent="0.3">
      <c r="A10" s="33">
        <v>160945</v>
      </c>
      <c r="B10" s="119" t="s">
        <v>2668</v>
      </c>
      <c r="C10" s="120" t="s">
        <v>2671</v>
      </c>
      <c r="D10" s="100" t="s">
        <v>202</v>
      </c>
      <c r="E10" s="132" t="s">
        <v>2667</v>
      </c>
      <c r="F10" s="96" t="s">
        <v>860</v>
      </c>
    </row>
    <row r="11" spans="1:6" s="35" customFormat="1" hidden="1" x14ac:dyDescent="0.3">
      <c r="A11" s="33">
        <v>378109</v>
      </c>
      <c r="B11" s="119" t="s">
        <v>2669</v>
      </c>
      <c r="C11" s="120" t="s">
        <v>2672</v>
      </c>
      <c r="D11" s="100" t="s">
        <v>202</v>
      </c>
      <c r="E11" s="132" t="s">
        <v>2667</v>
      </c>
      <c r="F11" s="96" t="s">
        <v>860</v>
      </c>
    </row>
    <row r="12" spans="1:6" s="35" customFormat="1" hidden="1" x14ac:dyDescent="0.3">
      <c r="A12" s="33">
        <v>637595</v>
      </c>
      <c r="B12" s="119" t="s">
        <v>2670</v>
      </c>
      <c r="C12" s="120" t="s">
        <v>2673</v>
      </c>
      <c r="D12" s="100" t="s">
        <v>202</v>
      </c>
      <c r="E12" s="132" t="s">
        <v>2667</v>
      </c>
      <c r="F12" s="96" t="s">
        <v>860</v>
      </c>
    </row>
    <row r="13" spans="1:6" s="35" customFormat="1" hidden="1" x14ac:dyDescent="0.3">
      <c r="A13" s="85">
        <v>398628</v>
      </c>
      <c r="B13" s="119" t="s">
        <v>2666</v>
      </c>
      <c r="C13" s="133">
        <v>819761002488</v>
      </c>
      <c r="D13" s="100" t="s">
        <v>202</v>
      </c>
      <c r="E13" s="132" t="s">
        <v>5</v>
      </c>
      <c r="F13" s="96" t="s">
        <v>860</v>
      </c>
    </row>
    <row r="14" spans="1:6" s="35" customFormat="1" hidden="1" x14ac:dyDescent="0.3">
      <c r="A14" s="85">
        <v>295139</v>
      </c>
      <c r="B14" s="119" t="s">
        <v>2663</v>
      </c>
      <c r="C14" s="133">
        <v>7794450008084</v>
      </c>
      <c r="D14" s="100" t="s">
        <v>202</v>
      </c>
      <c r="E14" s="132" t="s">
        <v>2664</v>
      </c>
      <c r="F14" s="96" t="s">
        <v>860</v>
      </c>
    </row>
    <row r="15" spans="1:6" s="35" customFormat="1" hidden="1" x14ac:dyDescent="0.3">
      <c r="A15" s="85">
        <v>425710</v>
      </c>
      <c r="B15" s="119" t="s">
        <v>2662</v>
      </c>
      <c r="C15" s="133">
        <v>627843475323</v>
      </c>
      <c r="D15" s="100" t="s">
        <v>48</v>
      </c>
      <c r="E15" s="132" t="s">
        <v>5</v>
      </c>
      <c r="F15" s="96" t="s">
        <v>860</v>
      </c>
    </row>
    <row r="16" spans="1:6" s="35" customFormat="1" hidden="1" x14ac:dyDescent="0.3">
      <c r="A16" s="85">
        <v>519280</v>
      </c>
      <c r="B16" s="119" t="s">
        <v>2661</v>
      </c>
      <c r="C16" s="133">
        <v>818662000302</v>
      </c>
      <c r="D16" s="100" t="s">
        <v>25</v>
      </c>
      <c r="E16" s="132" t="s">
        <v>5</v>
      </c>
      <c r="F16" s="96">
        <v>43830</v>
      </c>
    </row>
    <row r="17" spans="1:6" s="35" customFormat="1" hidden="1" x14ac:dyDescent="0.3">
      <c r="A17" s="85">
        <v>519082</v>
      </c>
      <c r="B17" s="119" t="s">
        <v>2660</v>
      </c>
      <c r="C17" s="133">
        <v>832958000524</v>
      </c>
      <c r="D17" s="100" t="s">
        <v>124</v>
      </c>
      <c r="E17" s="132" t="s">
        <v>2665</v>
      </c>
      <c r="F17" s="96">
        <v>43830</v>
      </c>
    </row>
    <row r="18" spans="1:6" s="35" customFormat="1" hidden="1" x14ac:dyDescent="0.3">
      <c r="A18" s="85">
        <v>10588</v>
      </c>
      <c r="B18" s="119" t="s">
        <v>2647</v>
      </c>
      <c r="C18" s="133" t="s">
        <v>2648</v>
      </c>
      <c r="D18" s="100" t="s">
        <v>25</v>
      </c>
      <c r="E18" s="132" t="s">
        <v>5</v>
      </c>
      <c r="F18" s="96" t="s">
        <v>860</v>
      </c>
    </row>
    <row r="19" spans="1:6" s="35" customFormat="1" hidden="1" x14ac:dyDescent="0.3">
      <c r="A19" s="85">
        <v>10590</v>
      </c>
      <c r="B19" s="119" t="s">
        <v>2649</v>
      </c>
      <c r="C19" s="133" t="s">
        <v>2650</v>
      </c>
      <c r="D19" s="100" t="s">
        <v>25</v>
      </c>
      <c r="E19" s="132" t="s">
        <v>5</v>
      </c>
      <c r="F19" s="96" t="s">
        <v>860</v>
      </c>
    </row>
    <row r="20" spans="1:6" s="35" customFormat="1" hidden="1" x14ac:dyDescent="0.3">
      <c r="A20" s="85">
        <v>10756</v>
      </c>
      <c r="B20" s="119" t="s">
        <v>2651</v>
      </c>
      <c r="C20" s="133" t="s">
        <v>2652</v>
      </c>
      <c r="D20" s="100" t="s">
        <v>48</v>
      </c>
      <c r="E20" s="132" t="s">
        <v>5</v>
      </c>
      <c r="F20" s="96" t="s">
        <v>860</v>
      </c>
    </row>
    <row r="21" spans="1:6" s="35" customFormat="1" hidden="1" x14ac:dyDescent="0.3">
      <c r="A21" s="85">
        <v>11347</v>
      </c>
      <c r="B21" s="119" t="s">
        <v>2653</v>
      </c>
      <c r="C21" s="133" t="s">
        <v>2654</v>
      </c>
      <c r="D21" s="100" t="s">
        <v>25</v>
      </c>
      <c r="E21" s="132" t="s">
        <v>5</v>
      </c>
      <c r="F21" s="96" t="s">
        <v>860</v>
      </c>
    </row>
    <row r="22" spans="1:6" s="35" customFormat="1" hidden="1" x14ac:dyDescent="0.3">
      <c r="A22" s="85">
        <v>418574</v>
      </c>
      <c r="B22" s="119" t="s">
        <v>196</v>
      </c>
      <c r="C22" s="133" t="s">
        <v>2655</v>
      </c>
      <c r="D22" s="100" t="s">
        <v>25</v>
      </c>
      <c r="E22" s="132" t="s">
        <v>5</v>
      </c>
      <c r="F22" s="96" t="s">
        <v>860</v>
      </c>
    </row>
    <row r="23" spans="1:6" s="35" customFormat="1" hidden="1" x14ac:dyDescent="0.3">
      <c r="A23" s="85">
        <v>515056</v>
      </c>
      <c r="B23" s="119" t="s">
        <v>2656</v>
      </c>
      <c r="C23" s="133" t="s">
        <v>2657</v>
      </c>
      <c r="D23" s="100" t="s">
        <v>25</v>
      </c>
      <c r="E23" s="132" t="s">
        <v>5</v>
      </c>
      <c r="F23" s="96" t="s">
        <v>860</v>
      </c>
    </row>
    <row r="24" spans="1:6" s="35" customFormat="1" hidden="1" x14ac:dyDescent="0.3">
      <c r="A24" s="85">
        <v>618397</v>
      </c>
      <c r="B24" s="119" t="s">
        <v>2658</v>
      </c>
      <c r="C24" s="133" t="s">
        <v>2659</v>
      </c>
      <c r="D24" s="100" t="s">
        <v>25</v>
      </c>
      <c r="E24" s="132" t="s">
        <v>5</v>
      </c>
      <c r="F24" s="96" t="s">
        <v>860</v>
      </c>
    </row>
    <row r="25" spans="1:6" s="35" customFormat="1" hidden="1" x14ac:dyDescent="0.3">
      <c r="A25" s="85" t="str">
        <f>"0130328"</f>
        <v>0130328</v>
      </c>
      <c r="B25" s="119" t="s">
        <v>2646</v>
      </c>
      <c r="C25" s="133" t="str">
        <f>"087600102013"</f>
        <v>087600102013</v>
      </c>
      <c r="D25" s="100" t="s">
        <v>48</v>
      </c>
      <c r="E25" s="132" t="s">
        <v>5</v>
      </c>
      <c r="F25" s="96">
        <v>43823</v>
      </c>
    </row>
    <row r="26" spans="1:6" s="35" customFormat="1" hidden="1" x14ac:dyDescent="0.3">
      <c r="A26" s="85" t="str">
        <f>"0123232"</f>
        <v>0123232</v>
      </c>
      <c r="B26" s="119" t="s">
        <v>2642</v>
      </c>
      <c r="C26" s="133" t="str">
        <f>"5035766041238"</f>
        <v>5035766041238</v>
      </c>
      <c r="D26" s="100" t="s">
        <v>29</v>
      </c>
      <c r="E26" s="132" t="s">
        <v>5</v>
      </c>
      <c r="F26" s="96">
        <v>43823</v>
      </c>
    </row>
    <row r="27" spans="1:6" s="35" customFormat="1" hidden="1" x14ac:dyDescent="0.3">
      <c r="A27" s="85" t="str">
        <f>"0379818"</f>
        <v>0379818</v>
      </c>
      <c r="B27" s="119" t="s">
        <v>2643</v>
      </c>
      <c r="C27" s="133" t="str">
        <f>"6001108028044"</f>
        <v>6001108028044</v>
      </c>
      <c r="D27" s="100" t="s">
        <v>285</v>
      </c>
      <c r="E27" s="132" t="s">
        <v>5</v>
      </c>
      <c r="F27" s="96">
        <v>43823</v>
      </c>
    </row>
    <row r="28" spans="1:6" s="35" customFormat="1" hidden="1" x14ac:dyDescent="0.3">
      <c r="A28" s="85" t="str">
        <f>"0619551"</f>
        <v>0619551</v>
      </c>
      <c r="B28" s="119" t="s">
        <v>2644</v>
      </c>
      <c r="C28" s="133" t="str">
        <f>"028305000112"</f>
        <v>028305000112</v>
      </c>
      <c r="D28" s="100" t="s">
        <v>48</v>
      </c>
      <c r="E28" s="132" t="s">
        <v>5</v>
      </c>
      <c r="F28" s="96">
        <v>43823</v>
      </c>
    </row>
    <row r="29" spans="1:6" s="35" customFormat="1" hidden="1" x14ac:dyDescent="0.3">
      <c r="A29" s="85" t="str">
        <f>"0339770"</f>
        <v>0339770</v>
      </c>
      <c r="B29" s="119" t="s">
        <v>2645</v>
      </c>
      <c r="C29" s="133" t="str">
        <f>"056327008212"</f>
        <v>056327008212</v>
      </c>
      <c r="D29" s="100" t="s">
        <v>25</v>
      </c>
      <c r="E29" s="132" t="s">
        <v>5</v>
      </c>
      <c r="F29" s="96">
        <v>43823</v>
      </c>
    </row>
    <row r="30" spans="1:6" s="35" customFormat="1" hidden="1" x14ac:dyDescent="0.3">
      <c r="A30" s="85" t="str">
        <f>"0560813"</f>
        <v>0560813</v>
      </c>
      <c r="B30" s="119" t="s">
        <v>2641</v>
      </c>
      <c r="C30" s="133" t="str">
        <f>"727530560537"</f>
        <v>727530560537</v>
      </c>
      <c r="D30" s="100" t="s">
        <v>25</v>
      </c>
      <c r="E30" s="132" t="s">
        <v>5</v>
      </c>
      <c r="F30" s="96">
        <v>43823</v>
      </c>
    </row>
    <row r="31" spans="1:6" s="35" customFormat="1" hidden="1" x14ac:dyDescent="0.3">
      <c r="A31" s="85">
        <v>470088</v>
      </c>
      <c r="B31" s="119" t="s">
        <v>2640</v>
      </c>
      <c r="C31" s="133">
        <v>81308003726</v>
      </c>
      <c r="D31" s="100" t="s">
        <v>1115</v>
      </c>
      <c r="E31" s="132" t="s">
        <v>5</v>
      </c>
      <c r="F31" s="96">
        <v>43823</v>
      </c>
    </row>
    <row r="32" spans="1:6" s="35" customFormat="1" hidden="1" x14ac:dyDescent="0.3">
      <c r="A32" s="85">
        <v>647701</v>
      </c>
      <c r="B32" s="119" t="s">
        <v>2637</v>
      </c>
      <c r="C32" s="133">
        <v>12354722811</v>
      </c>
      <c r="D32" s="100" t="s">
        <v>2638</v>
      </c>
      <c r="E32" s="132" t="s">
        <v>5</v>
      </c>
      <c r="F32" s="96" t="s">
        <v>860</v>
      </c>
    </row>
    <row r="33" spans="1:6" s="35" customFormat="1" hidden="1" x14ac:dyDescent="0.3">
      <c r="A33" s="85">
        <v>647719</v>
      </c>
      <c r="B33" s="119" t="s">
        <v>2639</v>
      </c>
      <c r="C33" s="133">
        <v>12354722828</v>
      </c>
      <c r="D33" s="100" t="s">
        <v>2638</v>
      </c>
      <c r="E33" s="132" t="s">
        <v>5</v>
      </c>
      <c r="F33" s="96" t="s">
        <v>860</v>
      </c>
    </row>
    <row r="34" spans="1:6" s="35" customFormat="1" hidden="1" x14ac:dyDescent="0.3">
      <c r="A34" s="85" t="s">
        <v>2628</v>
      </c>
      <c r="B34" s="119" t="s">
        <v>2629</v>
      </c>
      <c r="C34" s="133" t="s">
        <v>2630</v>
      </c>
      <c r="D34" s="100" t="s">
        <v>25</v>
      </c>
      <c r="E34" s="132" t="s">
        <v>5</v>
      </c>
      <c r="F34" s="96" t="s">
        <v>860</v>
      </c>
    </row>
    <row r="35" spans="1:6" s="35" customFormat="1" hidden="1" x14ac:dyDescent="0.3">
      <c r="A35" s="85" t="s">
        <v>2631</v>
      </c>
      <c r="B35" s="119" t="s">
        <v>2632</v>
      </c>
      <c r="C35" s="133" t="s">
        <v>2633</v>
      </c>
      <c r="D35" s="100" t="s">
        <v>25</v>
      </c>
      <c r="E35" s="132" t="s">
        <v>5</v>
      </c>
      <c r="F35" s="96">
        <v>43816</v>
      </c>
    </row>
    <row r="36" spans="1:6" s="35" customFormat="1" hidden="1" x14ac:dyDescent="0.3">
      <c r="A36" s="100" t="s">
        <v>2634</v>
      </c>
      <c r="B36" s="119" t="s">
        <v>2635</v>
      </c>
      <c r="C36" s="133" t="s">
        <v>2636</v>
      </c>
      <c r="D36" s="100" t="s">
        <v>25</v>
      </c>
      <c r="E36" s="132" t="s">
        <v>5</v>
      </c>
      <c r="F36" s="96">
        <v>43816</v>
      </c>
    </row>
    <row r="37" spans="1:6" s="35" customFormat="1" x14ac:dyDescent="0.3">
      <c r="A37" s="33">
        <v>317057</v>
      </c>
      <c r="B37" s="119" t="s">
        <v>2626</v>
      </c>
      <c r="C37" s="133">
        <v>8002062000051</v>
      </c>
      <c r="D37" s="100" t="s">
        <v>202</v>
      </c>
      <c r="E37" s="132" t="s">
        <v>2627</v>
      </c>
      <c r="F37" s="96">
        <v>43816</v>
      </c>
    </row>
    <row r="38" spans="1:6" s="35" customFormat="1" hidden="1" x14ac:dyDescent="0.3">
      <c r="A38" s="85">
        <v>238733</v>
      </c>
      <c r="B38" s="119" t="s">
        <v>2623</v>
      </c>
      <c r="C38" s="133">
        <v>89819011629</v>
      </c>
      <c r="D38" s="100" t="s">
        <v>202</v>
      </c>
      <c r="E38" s="132" t="s">
        <v>5</v>
      </c>
      <c r="F38" s="96">
        <v>43816</v>
      </c>
    </row>
    <row r="39" spans="1:6" s="35" customFormat="1" hidden="1" x14ac:dyDescent="0.3">
      <c r="A39" s="85">
        <v>226571</v>
      </c>
      <c r="B39" s="119" t="s">
        <v>2624</v>
      </c>
      <c r="C39" s="133">
        <v>88692864025</v>
      </c>
      <c r="D39" s="100" t="s">
        <v>202</v>
      </c>
      <c r="E39" s="132" t="s">
        <v>5</v>
      </c>
      <c r="F39" s="96">
        <v>43816</v>
      </c>
    </row>
    <row r="40" spans="1:6" s="35" customFormat="1" hidden="1" x14ac:dyDescent="0.3">
      <c r="A40" s="85">
        <v>281212</v>
      </c>
      <c r="B40" s="119" t="s">
        <v>2625</v>
      </c>
      <c r="C40" s="133">
        <v>776545995148</v>
      </c>
      <c r="D40" s="100" t="s">
        <v>202</v>
      </c>
      <c r="E40" s="132" t="s">
        <v>5</v>
      </c>
      <c r="F40" s="96">
        <v>43816</v>
      </c>
    </row>
    <row r="41" spans="1:6" s="97" customFormat="1" hidden="1" x14ac:dyDescent="0.3">
      <c r="A41" s="85" t="str">
        <f>"0508101"</f>
        <v>0508101</v>
      </c>
      <c r="B41" s="119" t="s">
        <v>2622</v>
      </c>
      <c r="C41" s="133" t="str">
        <f>"627843549987"</f>
        <v>627843549987</v>
      </c>
      <c r="D41" s="100" t="s">
        <v>25</v>
      </c>
      <c r="E41" s="132" t="s">
        <v>5</v>
      </c>
      <c r="F41" s="96">
        <v>43815</v>
      </c>
    </row>
    <row r="42" spans="1:6" s="97" customFormat="1" hidden="1" x14ac:dyDescent="0.3">
      <c r="A42" s="85" t="str">
        <f>"0012388"</f>
        <v>0012388</v>
      </c>
      <c r="B42" s="119" t="s">
        <v>2621</v>
      </c>
      <c r="C42" s="100" t="str">
        <f>"627843695530"</f>
        <v>627843695530</v>
      </c>
      <c r="D42" s="100" t="s">
        <v>25</v>
      </c>
      <c r="E42" s="132" t="s">
        <v>86</v>
      </c>
      <c r="F42" s="96">
        <v>43809</v>
      </c>
    </row>
    <row r="43" spans="1:6" s="97" customFormat="1" hidden="1" x14ac:dyDescent="0.3">
      <c r="A43" s="85">
        <v>524421</v>
      </c>
      <c r="B43" s="119" t="s">
        <v>2620</v>
      </c>
      <c r="C43" s="133">
        <v>636996993141</v>
      </c>
      <c r="D43" s="100" t="s">
        <v>202</v>
      </c>
      <c r="E43" s="132" t="s">
        <v>5</v>
      </c>
      <c r="F43" s="96" t="s">
        <v>860</v>
      </c>
    </row>
    <row r="44" spans="1:6" s="97" customFormat="1" hidden="1" x14ac:dyDescent="0.3">
      <c r="A44" s="85" t="str">
        <f>"0582692"</f>
        <v>0582692</v>
      </c>
      <c r="B44" s="119" t="s">
        <v>2619</v>
      </c>
      <c r="C44" s="100" t="str">
        <f>"628679910880"</f>
        <v>628679910880</v>
      </c>
      <c r="D44" s="100" t="s">
        <v>25</v>
      </c>
      <c r="E44" s="132" t="s">
        <v>5</v>
      </c>
      <c r="F44" s="96">
        <v>43809</v>
      </c>
    </row>
    <row r="45" spans="1:6" s="97" customFormat="1" hidden="1" x14ac:dyDescent="0.3">
      <c r="A45" s="85" t="str">
        <f>"0466987"</f>
        <v>0466987</v>
      </c>
      <c r="B45" s="119" t="s">
        <v>2618</v>
      </c>
      <c r="C45" s="100" t="str">
        <f>"824824150082"</f>
        <v>824824150082</v>
      </c>
      <c r="D45" s="100" t="s">
        <v>48</v>
      </c>
      <c r="E45" s="132" t="s">
        <v>5</v>
      </c>
      <c r="F45" s="96" t="s">
        <v>860</v>
      </c>
    </row>
    <row r="46" spans="1:6" s="97" customFormat="1" hidden="1" x14ac:dyDescent="0.3">
      <c r="A46" s="85">
        <v>395616</v>
      </c>
      <c r="B46" s="119" t="s">
        <v>2616</v>
      </c>
      <c r="C46" s="133">
        <v>627128601300</v>
      </c>
      <c r="D46" s="100" t="s">
        <v>202</v>
      </c>
      <c r="E46" s="42" t="s">
        <v>2617</v>
      </c>
      <c r="F46" s="96">
        <v>43794</v>
      </c>
    </row>
    <row r="47" spans="1:6" s="97" customFormat="1" hidden="1" x14ac:dyDescent="0.3">
      <c r="A47" s="85">
        <v>625350</v>
      </c>
      <c r="B47" s="119" t="s">
        <v>2614</v>
      </c>
      <c r="C47" s="133">
        <v>9322214009060</v>
      </c>
      <c r="D47" s="100" t="s">
        <v>202</v>
      </c>
      <c r="E47" s="55" t="s">
        <v>2615</v>
      </c>
      <c r="F47" s="96">
        <v>43794</v>
      </c>
    </row>
    <row r="48" spans="1:6" s="97" customFormat="1" ht="27.95" hidden="1" x14ac:dyDescent="0.3">
      <c r="A48" s="85">
        <v>145888</v>
      </c>
      <c r="B48" s="119" t="s">
        <v>2613</v>
      </c>
      <c r="C48" s="133">
        <v>180756000681</v>
      </c>
      <c r="D48" s="100" t="s">
        <v>202</v>
      </c>
      <c r="E48" s="55" t="s">
        <v>2612</v>
      </c>
      <c r="F48" s="96">
        <v>43787</v>
      </c>
    </row>
    <row r="49" spans="1:6" s="35" customFormat="1" hidden="1" x14ac:dyDescent="0.3">
      <c r="A49" s="33" t="str">
        <f>"0400218"</f>
        <v>0400218</v>
      </c>
      <c r="B49" s="119" t="s">
        <v>2610</v>
      </c>
      <c r="C49" s="133" t="str">
        <f>"9003402650133"</f>
        <v>9003402650133</v>
      </c>
      <c r="D49" s="100" t="s">
        <v>29</v>
      </c>
      <c r="E49" s="55" t="s">
        <v>2611</v>
      </c>
      <c r="F49" s="96">
        <v>43802</v>
      </c>
    </row>
    <row r="50" spans="1:6" ht="41.95" hidden="1" x14ac:dyDescent="0.3">
      <c r="A50" s="19" t="str">
        <f>"0571786"</f>
        <v>0571786</v>
      </c>
      <c r="B50" s="10" t="s">
        <v>2575</v>
      </c>
      <c r="C50" s="130">
        <v>779373398761</v>
      </c>
      <c r="D50" s="19" t="s">
        <v>25</v>
      </c>
      <c r="E50" s="55" t="s">
        <v>2609</v>
      </c>
      <c r="F50" s="96">
        <v>43802</v>
      </c>
    </row>
    <row r="51" spans="1:6" s="35" customFormat="1" hidden="1" x14ac:dyDescent="0.3">
      <c r="A51" s="110">
        <v>31104</v>
      </c>
      <c r="B51" s="119" t="s">
        <v>2603</v>
      </c>
      <c r="C51" s="133" t="s">
        <v>2604</v>
      </c>
      <c r="D51" s="100" t="s">
        <v>106</v>
      </c>
      <c r="E51" s="132" t="s">
        <v>5</v>
      </c>
      <c r="F51" s="96">
        <v>43802</v>
      </c>
    </row>
    <row r="52" spans="1:6" s="35" customFormat="1" hidden="1" x14ac:dyDescent="0.3">
      <c r="A52" s="110">
        <v>131631</v>
      </c>
      <c r="B52" s="119" t="s">
        <v>2605</v>
      </c>
      <c r="C52" s="133" t="s">
        <v>2606</v>
      </c>
      <c r="D52" s="100" t="s">
        <v>98</v>
      </c>
      <c r="E52" s="132" t="s">
        <v>5</v>
      </c>
      <c r="F52" s="96">
        <v>43802</v>
      </c>
    </row>
    <row r="53" spans="1:6" s="35" customFormat="1" hidden="1" x14ac:dyDescent="0.3">
      <c r="A53" s="110">
        <v>383786</v>
      </c>
      <c r="B53" s="119" t="s">
        <v>2607</v>
      </c>
      <c r="C53" s="133" t="s">
        <v>2608</v>
      </c>
      <c r="D53" s="100" t="s">
        <v>106</v>
      </c>
      <c r="E53" s="132" t="s">
        <v>5</v>
      </c>
      <c r="F53" s="96">
        <v>43802</v>
      </c>
    </row>
    <row r="54" spans="1:6" s="35" customFormat="1" ht="27.95" hidden="1" x14ac:dyDescent="0.3">
      <c r="A54" s="33">
        <v>111989</v>
      </c>
      <c r="B54" s="119" t="s">
        <v>2600</v>
      </c>
      <c r="C54" s="133">
        <v>670459007754</v>
      </c>
      <c r="D54" s="100" t="s">
        <v>202</v>
      </c>
      <c r="E54" s="55" t="s">
        <v>2601</v>
      </c>
      <c r="F54" s="96">
        <v>43795</v>
      </c>
    </row>
    <row r="55" spans="1:6" s="35" customFormat="1" hidden="1" x14ac:dyDescent="0.3">
      <c r="A55" s="33">
        <v>383901</v>
      </c>
      <c r="B55" s="119" t="s">
        <v>2599</v>
      </c>
      <c r="C55" s="133">
        <v>736886811224</v>
      </c>
      <c r="D55" s="100" t="s">
        <v>202</v>
      </c>
      <c r="E55" s="132" t="s">
        <v>2602</v>
      </c>
      <c r="F55" s="96">
        <v>43795</v>
      </c>
    </row>
    <row r="56" spans="1:6" s="136" customFormat="1" hidden="1" x14ac:dyDescent="0.3">
      <c r="A56" s="85" t="str">
        <f>"0319202"</f>
        <v>0319202</v>
      </c>
      <c r="B56" s="119" t="s">
        <v>2597</v>
      </c>
      <c r="C56" s="100" t="str">
        <f>"4005686001095"</f>
        <v>4005686001095</v>
      </c>
      <c r="D56" s="100" t="s">
        <v>48</v>
      </c>
      <c r="E56" s="132" t="s">
        <v>2598</v>
      </c>
      <c r="F56" s="96">
        <v>43788</v>
      </c>
    </row>
    <row r="57" spans="1:6" s="136" customFormat="1" hidden="1" x14ac:dyDescent="0.3">
      <c r="A57" s="85" t="str">
        <f>"0378216"</f>
        <v>0378216</v>
      </c>
      <c r="B57" s="119" t="s">
        <v>2595</v>
      </c>
      <c r="C57" s="100" t="str">
        <f>"4260108510016"</f>
        <v>4260108510016</v>
      </c>
      <c r="D57" s="100" t="s">
        <v>29</v>
      </c>
      <c r="E57" s="132" t="s">
        <v>2596</v>
      </c>
      <c r="F57" s="96">
        <v>43788</v>
      </c>
    </row>
    <row r="58" spans="1:6" s="136" customFormat="1" hidden="1" x14ac:dyDescent="0.3">
      <c r="A58" s="85">
        <v>394718</v>
      </c>
      <c r="B58" s="119" t="s">
        <v>2594</v>
      </c>
      <c r="C58" s="100">
        <v>84687001017</v>
      </c>
      <c r="D58" s="100" t="s">
        <v>202</v>
      </c>
      <c r="E58" s="132" t="s">
        <v>5</v>
      </c>
      <c r="F58" s="96">
        <v>43774</v>
      </c>
    </row>
    <row r="59" spans="1:6" s="97" customFormat="1" hidden="1" x14ac:dyDescent="0.3">
      <c r="A59" s="85">
        <v>462846</v>
      </c>
      <c r="B59" s="119" t="s">
        <v>2593</v>
      </c>
      <c r="C59" s="100">
        <v>88586498954</v>
      </c>
      <c r="D59" s="100" t="s">
        <v>202</v>
      </c>
      <c r="E59" s="132" t="s">
        <v>5</v>
      </c>
      <c r="F59" s="96" t="s">
        <v>860</v>
      </c>
    </row>
    <row r="60" spans="1:6" s="97" customFormat="1" hidden="1" x14ac:dyDescent="0.3">
      <c r="A60" s="85">
        <v>460154</v>
      </c>
      <c r="B60" s="119" t="s">
        <v>2592</v>
      </c>
      <c r="C60" s="95">
        <v>88586401848</v>
      </c>
      <c r="D60" s="100" t="s">
        <v>202</v>
      </c>
      <c r="E60" s="132" t="s">
        <v>5</v>
      </c>
      <c r="F60" s="96" t="s">
        <v>860</v>
      </c>
    </row>
    <row r="61" spans="1:6" s="35" customFormat="1" ht="27.95" hidden="1" x14ac:dyDescent="0.3">
      <c r="A61" s="33">
        <v>341347</v>
      </c>
      <c r="B61" s="119" t="s">
        <v>2590</v>
      </c>
      <c r="C61" s="133">
        <v>874537044147</v>
      </c>
      <c r="D61" s="100" t="s">
        <v>202</v>
      </c>
      <c r="E61" s="55" t="s">
        <v>2589</v>
      </c>
      <c r="F61" s="96">
        <v>43774</v>
      </c>
    </row>
    <row r="62" spans="1:6" s="35" customFormat="1" ht="27.95" hidden="1" x14ac:dyDescent="0.3">
      <c r="A62" s="33">
        <v>483537</v>
      </c>
      <c r="B62" s="119" t="s">
        <v>2591</v>
      </c>
      <c r="C62" s="133">
        <v>874537041146</v>
      </c>
      <c r="D62" s="100" t="s">
        <v>202</v>
      </c>
      <c r="E62" s="55" t="s">
        <v>2588</v>
      </c>
      <c r="F62" s="96">
        <v>43774</v>
      </c>
    </row>
    <row r="63" spans="1:6" s="35" customFormat="1" ht="27.95" hidden="1" x14ac:dyDescent="0.3">
      <c r="A63" s="33">
        <v>471813</v>
      </c>
      <c r="B63" s="119" t="s">
        <v>2587</v>
      </c>
      <c r="C63" s="133">
        <v>874537150145</v>
      </c>
      <c r="D63" s="100" t="s">
        <v>759</v>
      </c>
      <c r="E63" s="55" t="s">
        <v>2586</v>
      </c>
      <c r="F63" s="96" t="s">
        <v>860</v>
      </c>
    </row>
    <row r="64" spans="1:6" s="35" customFormat="1" ht="27.95" hidden="1" x14ac:dyDescent="0.3">
      <c r="A64" s="33">
        <v>53397</v>
      </c>
      <c r="B64" s="119" t="s">
        <v>2584</v>
      </c>
      <c r="C64" s="133">
        <v>874537102113</v>
      </c>
      <c r="D64" s="100" t="s">
        <v>759</v>
      </c>
      <c r="E64" s="55" t="s">
        <v>2585</v>
      </c>
      <c r="F64" s="96" t="s">
        <v>860</v>
      </c>
    </row>
    <row r="65" spans="1:6" hidden="1" x14ac:dyDescent="0.3">
      <c r="A65" s="85">
        <v>572115</v>
      </c>
      <c r="B65" s="119" t="s">
        <v>2581</v>
      </c>
      <c r="C65" s="133">
        <v>9300694000838</v>
      </c>
      <c r="D65" s="100" t="s">
        <v>202</v>
      </c>
      <c r="E65" s="132" t="s">
        <v>5</v>
      </c>
      <c r="F65" s="96">
        <v>43774</v>
      </c>
    </row>
    <row r="66" spans="1:6" hidden="1" x14ac:dyDescent="0.3">
      <c r="A66" s="85">
        <v>545608</v>
      </c>
      <c r="B66" s="119" t="s">
        <v>2582</v>
      </c>
      <c r="C66" s="133">
        <v>9344154010906</v>
      </c>
      <c r="D66" s="100" t="s">
        <v>202</v>
      </c>
      <c r="E66" s="132" t="s">
        <v>5</v>
      </c>
      <c r="F66" s="96">
        <v>43774</v>
      </c>
    </row>
    <row r="67" spans="1:6" hidden="1" x14ac:dyDescent="0.3">
      <c r="A67" s="85">
        <v>572057</v>
      </c>
      <c r="B67" s="119" t="s">
        <v>2583</v>
      </c>
      <c r="C67" s="133">
        <v>9300694000708</v>
      </c>
      <c r="D67" s="100" t="s">
        <v>202</v>
      </c>
      <c r="E67" s="132" t="s">
        <v>5</v>
      </c>
      <c r="F67" s="96">
        <v>43774</v>
      </c>
    </row>
    <row r="68" spans="1:6" hidden="1" x14ac:dyDescent="0.3">
      <c r="A68" s="85">
        <v>545590</v>
      </c>
      <c r="B68" s="119" t="s">
        <v>2503</v>
      </c>
      <c r="C68" s="133">
        <v>9344154010869</v>
      </c>
      <c r="D68" s="100" t="s">
        <v>202</v>
      </c>
      <c r="E68" s="132" t="s">
        <v>5</v>
      </c>
      <c r="F68" s="96">
        <v>43774</v>
      </c>
    </row>
    <row r="69" spans="1:6" hidden="1" x14ac:dyDescent="0.3">
      <c r="A69" s="33">
        <v>308270</v>
      </c>
      <c r="B69" s="119" t="s">
        <v>2580</v>
      </c>
      <c r="C69" s="133">
        <v>9416040100227</v>
      </c>
      <c r="D69" s="100" t="s">
        <v>202</v>
      </c>
      <c r="E69" s="135" t="s">
        <v>5</v>
      </c>
      <c r="F69" s="96" t="s">
        <v>860</v>
      </c>
    </row>
    <row r="70" spans="1:6" hidden="1" x14ac:dyDescent="0.3">
      <c r="A70" s="33">
        <v>198036</v>
      </c>
      <c r="B70" s="119" t="s">
        <v>2579</v>
      </c>
      <c r="C70" s="133">
        <v>776409000049</v>
      </c>
      <c r="D70" s="100" t="s">
        <v>202</v>
      </c>
      <c r="E70" s="135" t="s">
        <v>5</v>
      </c>
      <c r="F70" s="96" t="s">
        <v>860</v>
      </c>
    </row>
    <row r="71" spans="1:6" hidden="1" x14ac:dyDescent="0.3">
      <c r="A71" s="85">
        <v>523001</v>
      </c>
      <c r="B71" s="119" t="s">
        <v>2578</v>
      </c>
      <c r="C71" s="133">
        <v>779334057119</v>
      </c>
      <c r="D71" s="100" t="s">
        <v>202</v>
      </c>
      <c r="E71" s="135" t="s">
        <v>5</v>
      </c>
      <c r="F71" s="96">
        <v>43767</v>
      </c>
    </row>
    <row r="72" spans="1:6" ht="27.95" hidden="1" x14ac:dyDescent="0.3">
      <c r="A72" s="19">
        <v>636290</v>
      </c>
      <c r="B72" s="10" t="s">
        <v>2461</v>
      </c>
      <c r="C72" s="122">
        <v>874537132141</v>
      </c>
      <c r="D72" s="19" t="s">
        <v>759</v>
      </c>
      <c r="E72" s="55" t="s">
        <v>2465</v>
      </c>
      <c r="F72" s="96" t="s">
        <v>860</v>
      </c>
    </row>
    <row r="73" spans="1:6" ht="27.95" hidden="1" x14ac:dyDescent="0.3">
      <c r="A73" s="19" t="str">
        <f>"0333583"</f>
        <v>0333583</v>
      </c>
      <c r="B73" s="10" t="s">
        <v>2574</v>
      </c>
      <c r="C73" s="130" t="str">
        <f>"400003987825"</f>
        <v>400003987825</v>
      </c>
      <c r="D73" s="19" t="s">
        <v>25</v>
      </c>
      <c r="E73" s="55" t="s">
        <v>2576</v>
      </c>
      <c r="F73" s="96">
        <v>43782</v>
      </c>
    </row>
    <row r="74" spans="1:6" ht="27.95" hidden="1" x14ac:dyDescent="0.3">
      <c r="A74" s="19" t="str">
        <f>"0571786"</f>
        <v>0571786</v>
      </c>
      <c r="B74" s="10" t="s">
        <v>2575</v>
      </c>
      <c r="C74" s="130" t="str">
        <f>"400003987863"</f>
        <v>400003987863</v>
      </c>
      <c r="D74" s="19" t="s">
        <v>25</v>
      </c>
      <c r="E74" s="55" t="s">
        <v>2577</v>
      </c>
      <c r="F74" s="96">
        <v>43782</v>
      </c>
    </row>
    <row r="75" spans="1:6" s="35" customFormat="1" hidden="1" x14ac:dyDescent="0.3">
      <c r="A75" s="85" t="str">
        <f>"0540146"</f>
        <v>0540146</v>
      </c>
      <c r="B75" s="119" t="s">
        <v>2573</v>
      </c>
      <c r="C75" s="100" t="str">
        <f>"621433022119"</f>
        <v>621433022119</v>
      </c>
      <c r="D75" s="100" t="s">
        <v>555</v>
      </c>
      <c r="E75" s="42" t="s">
        <v>5</v>
      </c>
      <c r="F75" s="96" t="s">
        <v>860</v>
      </c>
    </row>
    <row r="76" spans="1:6" ht="27.95" hidden="1" x14ac:dyDescent="0.3">
      <c r="A76" s="19" t="str">
        <f>"0490466"</f>
        <v>0490466</v>
      </c>
      <c r="B76" s="10" t="s">
        <v>936</v>
      </c>
      <c r="C76" s="130" t="str">
        <f>"882842000031"</f>
        <v>882842000031</v>
      </c>
      <c r="D76" s="19" t="s">
        <v>25</v>
      </c>
      <c r="E76" s="55" t="s">
        <v>2571</v>
      </c>
      <c r="F76" s="96">
        <v>43782</v>
      </c>
    </row>
    <row r="77" spans="1:6" s="35" customFormat="1" hidden="1" x14ac:dyDescent="0.3">
      <c r="A77" s="85" t="str">
        <f>"0380311"</f>
        <v>0380311</v>
      </c>
      <c r="B77" s="119" t="s">
        <v>2567</v>
      </c>
      <c r="C77" s="100" t="str">
        <f>"620707101741"</f>
        <v>620707101741</v>
      </c>
      <c r="D77" s="100" t="s">
        <v>25</v>
      </c>
      <c r="E77" s="42" t="s">
        <v>2568</v>
      </c>
      <c r="F77" s="96">
        <v>43774</v>
      </c>
    </row>
    <row r="78" spans="1:6" s="35" customFormat="1" hidden="1" x14ac:dyDescent="0.3">
      <c r="A78" s="85" t="str">
        <f>"0122549"</f>
        <v>0122549</v>
      </c>
      <c r="B78" s="119" t="s">
        <v>2566</v>
      </c>
      <c r="C78" s="100" t="str">
        <f>"087692009047"</f>
        <v>087692009047</v>
      </c>
      <c r="D78" s="100" t="s">
        <v>1620</v>
      </c>
      <c r="E78" s="42" t="s">
        <v>5</v>
      </c>
      <c r="F78" s="96">
        <v>43774</v>
      </c>
    </row>
    <row r="79" spans="1:6" s="35" customFormat="1" hidden="1" x14ac:dyDescent="0.3">
      <c r="A79" s="85" t="str">
        <f>"0462580"</f>
        <v>0462580</v>
      </c>
      <c r="B79" s="119" t="s">
        <v>935</v>
      </c>
      <c r="C79" s="100" t="str">
        <f>"882842000017"</f>
        <v>882842000017</v>
      </c>
      <c r="D79" s="100" t="s">
        <v>25</v>
      </c>
      <c r="E79" s="42" t="s">
        <v>2565</v>
      </c>
      <c r="F79" s="96">
        <v>43767</v>
      </c>
    </row>
    <row r="80" spans="1:6" s="35" customFormat="1" hidden="1" x14ac:dyDescent="0.3">
      <c r="A80" s="85" t="str">
        <f>"0543009"</f>
        <v>0543009</v>
      </c>
      <c r="B80" s="119" t="s">
        <v>2564</v>
      </c>
      <c r="C80" s="100" t="str">
        <f>"040232534812"</f>
        <v>040232534812</v>
      </c>
      <c r="D80" s="100" t="s">
        <v>25</v>
      </c>
      <c r="E80" s="42" t="s">
        <v>2572</v>
      </c>
      <c r="F80" s="96">
        <v>43767</v>
      </c>
    </row>
    <row r="81" spans="1:6" s="35" customFormat="1" hidden="1" x14ac:dyDescent="0.3">
      <c r="A81" s="85" t="str">
        <f>"0569038"</f>
        <v>0569038</v>
      </c>
      <c r="B81" s="119" t="s">
        <v>1612</v>
      </c>
      <c r="C81" s="100" t="str">
        <f>"627843695516"</f>
        <v>627843695516</v>
      </c>
      <c r="D81" s="100" t="s">
        <v>25</v>
      </c>
      <c r="E81" s="42" t="s">
        <v>5</v>
      </c>
      <c r="F81" s="96">
        <v>43767</v>
      </c>
    </row>
    <row r="82" spans="1:6" s="35" customFormat="1" hidden="1" x14ac:dyDescent="0.3">
      <c r="A82" s="85" t="str">
        <f>"0515023"</f>
        <v>0515023</v>
      </c>
      <c r="B82" s="119" t="s">
        <v>2563</v>
      </c>
      <c r="C82" s="100" t="str">
        <f>"627843756422"</f>
        <v>627843756422</v>
      </c>
      <c r="D82" s="100" t="s">
        <v>25</v>
      </c>
      <c r="E82" s="42" t="s">
        <v>5</v>
      </c>
      <c r="F82" s="96" t="s">
        <v>860</v>
      </c>
    </row>
    <row r="83" spans="1:6" s="35" customFormat="1" hidden="1" x14ac:dyDescent="0.3">
      <c r="A83" s="85">
        <v>308221</v>
      </c>
      <c r="B83" s="119" t="s">
        <v>2561</v>
      </c>
      <c r="C83" s="100">
        <v>89819542987</v>
      </c>
      <c r="D83" s="100" t="s">
        <v>1115</v>
      </c>
      <c r="E83" s="42" t="s">
        <v>5</v>
      </c>
      <c r="F83" s="96">
        <v>43767</v>
      </c>
    </row>
    <row r="84" spans="1:6" s="35" customFormat="1" hidden="1" x14ac:dyDescent="0.3">
      <c r="A84" s="85">
        <v>308205</v>
      </c>
      <c r="B84" s="119" t="s">
        <v>2560</v>
      </c>
      <c r="C84" s="100">
        <v>89819006731</v>
      </c>
      <c r="D84" s="100" t="s">
        <v>1115</v>
      </c>
      <c r="E84" s="42" t="s">
        <v>5</v>
      </c>
      <c r="F84" s="96" t="s">
        <v>860</v>
      </c>
    </row>
    <row r="85" spans="1:6" s="35" customFormat="1" hidden="1" x14ac:dyDescent="0.3">
      <c r="A85" s="85">
        <v>407643</v>
      </c>
      <c r="B85" s="119" t="s">
        <v>2562</v>
      </c>
      <c r="C85" s="100">
        <v>89819006038</v>
      </c>
      <c r="D85" s="100" t="s">
        <v>1115</v>
      </c>
      <c r="E85" s="42" t="s">
        <v>5</v>
      </c>
      <c r="F85" s="96" t="s">
        <v>860</v>
      </c>
    </row>
    <row r="86" spans="1:6" s="35" customFormat="1" hidden="1" x14ac:dyDescent="0.3">
      <c r="A86" s="85">
        <v>614362</v>
      </c>
      <c r="B86" s="119" t="s">
        <v>2558</v>
      </c>
      <c r="C86" s="133">
        <v>776545600073</v>
      </c>
      <c r="D86" s="100" t="s">
        <v>1115</v>
      </c>
      <c r="E86" s="42" t="s">
        <v>5</v>
      </c>
      <c r="F86" s="96" t="s">
        <v>860</v>
      </c>
    </row>
    <row r="87" spans="1:6" s="35" customFormat="1" hidden="1" x14ac:dyDescent="0.3">
      <c r="A87" s="85">
        <v>617670</v>
      </c>
      <c r="B87" s="119" t="s">
        <v>2559</v>
      </c>
      <c r="C87" s="133">
        <v>776545600066</v>
      </c>
      <c r="D87" s="100" t="s">
        <v>1115</v>
      </c>
      <c r="E87" s="42" t="s">
        <v>5</v>
      </c>
      <c r="F87" s="96" t="s">
        <v>860</v>
      </c>
    </row>
    <row r="88" spans="1:6" s="35" customFormat="1" hidden="1" x14ac:dyDescent="0.3">
      <c r="A88" s="85">
        <v>292037</v>
      </c>
      <c r="B88" s="119" t="s">
        <v>2556</v>
      </c>
      <c r="C88" s="100">
        <v>86003005044</v>
      </c>
      <c r="D88" s="100" t="s">
        <v>1115</v>
      </c>
      <c r="E88" s="42" t="s">
        <v>5</v>
      </c>
      <c r="F88" s="96">
        <v>43760</v>
      </c>
    </row>
    <row r="89" spans="1:6" s="35" customFormat="1" hidden="1" x14ac:dyDescent="0.3">
      <c r="A89" s="85">
        <v>419978</v>
      </c>
      <c r="B89" s="119" t="s">
        <v>2557</v>
      </c>
      <c r="C89" s="100">
        <v>85000019733</v>
      </c>
      <c r="D89" s="100" t="s">
        <v>1115</v>
      </c>
      <c r="E89" s="42" t="s">
        <v>5</v>
      </c>
      <c r="F89" s="96">
        <v>43760</v>
      </c>
    </row>
    <row r="90" spans="1:6" s="35" customFormat="1" hidden="1" x14ac:dyDescent="0.3">
      <c r="A90" s="85">
        <v>454355</v>
      </c>
      <c r="B90" s="119" t="s">
        <v>2555</v>
      </c>
      <c r="C90" s="100">
        <v>85200000296</v>
      </c>
      <c r="D90" s="100" t="s">
        <v>1115</v>
      </c>
      <c r="E90" s="42" t="s">
        <v>5</v>
      </c>
      <c r="F90" s="96" t="s">
        <v>860</v>
      </c>
    </row>
    <row r="91" spans="1:6" s="35" customFormat="1" hidden="1" x14ac:dyDescent="0.3">
      <c r="A91" s="85">
        <v>12827</v>
      </c>
      <c r="B91" s="119" t="s">
        <v>2553</v>
      </c>
      <c r="C91" s="133">
        <v>779327163209</v>
      </c>
      <c r="D91" s="100" t="s">
        <v>1115</v>
      </c>
      <c r="E91" s="132" t="s">
        <v>2554</v>
      </c>
      <c r="F91" s="96" t="s">
        <v>860</v>
      </c>
    </row>
    <row r="92" spans="1:6" s="35" customFormat="1" ht="13.7" hidden="1" customHeight="1" x14ac:dyDescent="0.3">
      <c r="A92" s="85">
        <v>223545</v>
      </c>
      <c r="B92" s="119" t="s">
        <v>2552</v>
      </c>
      <c r="C92" s="133">
        <v>874537000112</v>
      </c>
      <c r="D92" s="100" t="s">
        <v>2551</v>
      </c>
      <c r="E92" s="42" t="s">
        <v>5</v>
      </c>
      <c r="F92" s="96" t="s">
        <v>860</v>
      </c>
    </row>
    <row r="93" spans="1:6" s="35" customFormat="1" hidden="1" x14ac:dyDescent="0.3">
      <c r="A93" s="85" t="str">
        <f>"0013660"</f>
        <v>0013660</v>
      </c>
      <c r="B93" s="119" t="s">
        <v>2569</v>
      </c>
      <c r="C93" s="133">
        <v>712195509878</v>
      </c>
      <c r="D93" s="100" t="s">
        <v>25</v>
      </c>
      <c r="E93" s="42" t="s">
        <v>2570</v>
      </c>
      <c r="F93" s="96" t="s">
        <v>860</v>
      </c>
    </row>
    <row r="94" spans="1:6" hidden="1" x14ac:dyDescent="0.3">
      <c r="A94" s="110">
        <v>424093</v>
      </c>
      <c r="B94" s="119" t="s">
        <v>2546</v>
      </c>
      <c r="C94" s="117">
        <v>837763000080</v>
      </c>
      <c r="D94" s="118" t="s">
        <v>48</v>
      </c>
      <c r="E94" s="42" t="s">
        <v>2550</v>
      </c>
      <c r="F94" s="96">
        <v>43754</v>
      </c>
    </row>
    <row r="95" spans="1:6" hidden="1" x14ac:dyDescent="0.3">
      <c r="A95" s="110">
        <v>470898</v>
      </c>
      <c r="B95" s="119" t="s">
        <v>2547</v>
      </c>
      <c r="C95" s="117">
        <v>837763000066</v>
      </c>
      <c r="D95" s="118" t="s">
        <v>48</v>
      </c>
      <c r="E95" s="42" t="s">
        <v>2550</v>
      </c>
      <c r="F95" s="96">
        <v>43754</v>
      </c>
    </row>
    <row r="96" spans="1:6" hidden="1" x14ac:dyDescent="0.3">
      <c r="A96" s="110">
        <v>470906</v>
      </c>
      <c r="B96" s="119" t="s">
        <v>2548</v>
      </c>
      <c r="C96" s="117">
        <v>837763000110</v>
      </c>
      <c r="D96" s="118" t="s">
        <v>48</v>
      </c>
      <c r="E96" s="42" t="s">
        <v>2550</v>
      </c>
      <c r="F96" s="96">
        <v>43754</v>
      </c>
    </row>
    <row r="97" spans="1:6" hidden="1" x14ac:dyDescent="0.3">
      <c r="A97" s="110">
        <v>612804</v>
      </c>
      <c r="B97" s="119" t="s">
        <v>2549</v>
      </c>
      <c r="C97" s="117">
        <v>837763000042</v>
      </c>
      <c r="D97" s="118" t="s">
        <v>1739</v>
      </c>
      <c r="E97" s="42" t="s">
        <v>2550</v>
      </c>
      <c r="F97" s="96">
        <v>43754</v>
      </c>
    </row>
    <row r="98" spans="1:6" s="35" customFormat="1" hidden="1" x14ac:dyDescent="0.3">
      <c r="A98" s="110">
        <v>10476</v>
      </c>
      <c r="B98" s="119" t="s">
        <v>2544</v>
      </c>
      <c r="C98" s="134">
        <v>56327014039</v>
      </c>
      <c r="D98" s="118" t="s">
        <v>25</v>
      </c>
      <c r="E98" s="42" t="s">
        <v>5</v>
      </c>
      <c r="F98" s="96">
        <v>43754</v>
      </c>
    </row>
    <row r="99" spans="1:6" s="35" customFormat="1" hidden="1" x14ac:dyDescent="0.3">
      <c r="A99" s="110">
        <v>558924</v>
      </c>
      <c r="B99" s="119" t="s">
        <v>2545</v>
      </c>
      <c r="C99" s="134">
        <v>56327012905</v>
      </c>
      <c r="D99" s="118" t="s">
        <v>37</v>
      </c>
      <c r="E99" s="42" t="s">
        <v>5</v>
      </c>
      <c r="F99" s="96">
        <v>43754</v>
      </c>
    </row>
    <row r="100" spans="1:6" hidden="1" x14ac:dyDescent="0.3">
      <c r="A100" s="85">
        <v>639856</v>
      </c>
      <c r="B100" s="119" t="s">
        <v>2543</v>
      </c>
      <c r="C100" s="133">
        <v>699187005207</v>
      </c>
      <c r="D100" s="100" t="s">
        <v>202</v>
      </c>
      <c r="E100" s="132" t="s">
        <v>5</v>
      </c>
      <c r="F100" s="96" t="s">
        <v>860</v>
      </c>
    </row>
    <row r="101" spans="1:6" hidden="1" x14ac:dyDescent="0.3">
      <c r="A101" s="85" t="str">
        <f>"0559740"</f>
        <v>0559740</v>
      </c>
      <c r="B101" s="119" t="s">
        <v>2527</v>
      </c>
      <c r="C101" s="133" t="str">
        <f>"628669010057"</f>
        <v>628669010057</v>
      </c>
      <c r="D101" s="100" t="s">
        <v>25</v>
      </c>
      <c r="E101" s="132" t="s">
        <v>5</v>
      </c>
      <c r="F101" s="96">
        <v>43754</v>
      </c>
    </row>
    <row r="102" spans="1:6" hidden="1" x14ac:dyDescent="0.3">
      <c r="A102" s="85">
        <v>628172</v>
      </c>
      <c r="B102" s="119" t="s">
        <v>2541</v>
      </c>
      <c r="C102" s="133">
        <v>7340118200071</v>
      </c>
      <c r="D102" s="100" t="s">
        <v>202</v>
      </c>
      <c r="E102" s="132" t="s">
        <v>2542</v>
      </c>
      <c r="F102" s="96" t="s">
        <v>860</v>
      </c>
    </row>
    <row r="103" spans="1:6" hidden="1" x14ac:dyDescent="0.3">
      <c r="A103" s="128" t="str">
        <f>"0492991"</f>
        <v>0492991</v>
      </c>
      <c r="B103" s="129" t="s">
        <v>2540</v>
      </c>
      <c r="C103" s="117" t="str">
        <f>"830677111163"</f>
        <v>830677111163</v>
      </c>
      <c r="D103" s="118" t="s">
        <v>25</v>
      </c>
      <c r="E103" s="55" t="s">
        <v>5</v>
      </c>
      <c r="F103" s="96" t="s">
        <v>860</v>
      </c>
    </row>
    <row r="104" spans="1:6" hidden="1" x14ac:dyDescent="0.3">
      <c r="A104" s="128">
        <v>225946</v>
      </c>
      <c r="B104" s="129" t="s">
        <v>2539</v>
      </c>
      <c r="C104" s="117">
        <v>777081715498</v>
      </c>
      <c r="D104" s="118" t="s">
        <v>202</v>
      </c>
      <c r="E104" s="55" t="s">
        <v>5</v>
      </c>
      <c r="F104" s="96" t="s">
        <v>860</v>
      </c>
    </row>
    <row r="105" spans="1:6" hidden="1" x14ac:dyDescent="0.3">
      <c r="A105" s="128">
        <v>647313</v>
      </c>
      <c r="B105" s="129" t="s">
        <v>2537</v>
      </c>
      <c r="C105" s="117">
        <v>9421904443044</v>
      </c>
      <c r="D105" s="118" t="s">
        <v>1301</v>
      </c>
      <c r="E105" s="55" t="s">
        <v>2538</v>
      </c>
      <c r="F105" s="96" t="s">
        <v>860</v>
      </c>
    </row>
    <row r="106" spans="1:6" hidden="1" x14ac:dyDescent="0.3">
      <c r="A106" s="19">
        <v>385385</v>
      </c>
      <c r="B106" s="10" t="s">
        <v>2536</v>
      </c>
      <c r="C106" s="130">
        <v>3179077470195</v>
      </c>
      <c r="D106" s="19" t="s">
        <v>202</v>
      </c>
      <c r="E106" s="42" t="s">
        <v>2535</v>
      </c>
      <c r="F106" s="96">
        <v>43795</v>
      </c>
    </row>
    <row r="107" spans="1:6" ht="27.95" hidden="1" x14ac:dyDescent="0.3">
      <c r="A107" s="19">
        <v>522672</v>
      </c>
      <c r="B107" s="10" t="s">
        <v>2533</v>
      </c>
      <c r="C107" s="130">
        <v>874537063148</v>
      </c>
      <c r="D107" s="19" t="s">
        <v>759</v>
      </c>
      <c r="E107" s="55" t="s">
        <v>2534</v>
      </c>
      <c r="F107" s="96">
        <v>43746</v>
      </c>
    </row>
    <row r="108" spans="1:6" hidden="1" x14ac:dyDescent="0.3">
      <c r="A108" s="19">
        <v>576181</v>
      </c>
      <c r="B108" s="10" t="s">
        <v>2532</v>
      </c>
      <c r="C108" s="131">
        <v>876584002040</v>
      </c>
      <c r="D108" s="19" t="s">
        <v>202</v>
      </c>
      <c r="E108" s="42" t="s">
        <v>5</v>
      </c>
      <c r="F108" s="96" t="s">
        <v>860</v>
      </c>
    </row>
    <row r="109" spans="1:6" ht="27.95" hidden="1" x14ac:dyDescent="0.3">
      <c r="A109" s="19">
        <v>260372</v>
      </c>
      <c r="B109" s="10" t="s">
        <v>2530</v>
      </c>
      <c r="C109" s="130">
        <v>832136001596</v>
      </c>
      <c r="D109" s="19" t="s">
        <v>202</v>
      </c>
      <c r="E109" s="55" t="s">
        <v>2531</v>
      </c>
      <c r="F109" s="96">
        <v>43728</v>
      </c>
    </row>
    <row r="110" spans="1:6" hidden="1" x14ac:dyDescent="0.3">
      <c r="A110" s="19">
        <v>454835</v>
      </c>
      <c r="B110" s="10" t="s">
        <v>2528</v>
      </c>
      <c r="C110" s="95">
        <v>88586402845</v>
      </c>
      <c r="D110" s="19" t="s">
        <v>202</v>
      </c>
      <c r="E110" s="42" t="s">
        <v>5</v>
      </c>
      <c r="F110" s="96" t="s">
        <v>860</v>
      </c>
    </row>
    <row r="111" spans="1:6" hidden="1" x14ac:dyDescent="0.3">
      <c r="A111" s="128">
        <v>363838</v>
      </c>
      <c r="B111" s="129" t="s">
        <v>2529</v>
      </c>
      <c r="C111" s="117">
        <v>856622001112</v>
      </c>
      <c r="D111" s="118" t="s">
        <v>202</v>
      </c>
      <c r="E111" s="55" t="s">
        <v>5</v>
      </c>
      <c r="F111" s="96" t="s">
        <v>860</v>
      </c>
    </row>
    <row r="112" spans="1:6" hidden="1" x14ac:dyDescent="0.3">
      <c r="A112" s="33" t="str">
        <f>"0010203"</f>
        <v>0010203</v>
      </c>
      <c r="B112" s="119" t="s">
        <v>1897</v>
      </c>
      <c r="C112" s="117" t="str">
        <f>"628669091018"</f>
        <v>628669091018</v>
      </c>
      <c r="D112" s="118" t="s">
        <v>98</v>
      </c>
      <c r="E112" s="42" t="s">
        <v>5</v>
      </c>
      <c r="F112" s="96">
        <v>43739</v>
      </c>
    </row>
    <row r="113" spans="1:6" hidden="1" x14ac:dyDescent="0.3">
      <c r="A113" s="33" t="str">
        <f>"0559740"</f>
        <v>0559740</v>
      </c>
      <c r="B113" s="119" t="s">
        <v>2527</v>
      </c>
      <c r="C113" s="117" t="str">
        <f>"628669010057"</f>
        <v>628669010057</v>
      </c>
      <c r="D113" s="118" t="s">
        <v>25</v>
      </c>
      <c r="E113" s="42" t="s">
        <v>5</v>
      </c>
      <c r="F113" s="96">
        <v>43739</v>
      </c>
    </row>
    <row r="114" spans="1:6" hidden="1" x14ac:dyDescent="0.3">
      <c r="A114" s="33">
        <v>164764</v>
      </c>
      <c r="B114" s="119" t="s">
        <v>2526</v>
      </c>
      <c r="C114" s="117">
        <v>7798159560218</v>
      </c>
      <c r="D114" s="118" t="s">
        <v>202</v>
      </c>
      <c r="E114" s="42" t="s">
        <v>5</v>
      </c>
      <c r="F114" s="96">
        <v>43739</v>
      </c>
    </row>
    <row r="115" spans="1:6" hidden="1" x14ac:dyDescent="0.3">
      <c r="A115" s="33" t="str">
        <f>"0198465"</f>
        <v>0198465</v>
      </c>
      <c r="B115" s="119" t="s">
        <v>2525</v>
      </c>
      <c r="C115" s="117" t="str">
        <f>"6903102103157"</f>
        <v>6903102103157</v>
      </c>
      <c r="D115" s="118" t="s">
        <v>48</v>
      </c>
      <c r="E115" s="42" t="s">
        <v>5</v>
      </c>
      <c r="F115" s="96" t="s">
        <v>860</v>
      </c>
    </row>
    <row r="116" spans="1:6" hidden="1" x14ac:dyDescent="0.3">
      <c r="A116" s="33" t="str">
        <f>"0011249"</f>
        <v>0011249</v>
      </c>
      <c r="B116" s="119" t="s">
        <v>2523</v>
      </c>
      <c r="C116" s="120" t="str">
        <f>"628504386019"</f>
        <v>628504386019</v>
      </c>
      <c r="D116" s="118" t="s">
        <v>25</v>
      </c>
      <c r="E116" s="55" t="s">
        <v>2524</v>
      </c>
      <c r="F116" s="96" t="s">
        <v>860</v>
      </c>
    </row>
    <row r="117" spans="1:6" hidden="1" x14ac:dyDescent="0.3">
      <c r="A117" s="33">
        <v>157065</v>
      </c>
      <c r="B117" s="119" t="s">
        <v>2521</v>
      </c>
      <c r="C117" s="120" t="s">
        <v>2522</v>
      </c>
      <c r="D117" s="118" t="s">
        <v>25</v>
      </c>
      <c r="E117" s="55" t="s">
        <v>86</v>
      </c>
      <c r="F117" s="96">
        <v>43739</v>
      </c>
    </row>
    <row r="118" spans="1:6" s="35" customFormat="1" hidden="1" x14ac:dyDescent="0.3">
      <c r="A118" s="33">
        <v>10425</v>
      </c>
      <c r="B118" s="119" t="s">
        <v>2513</v>
      </c>
      <c r="C118" s="120" t="s">
        <v>2518</v>
      </c>
      <c r="D118" s="118" t="s">
        <v>1301</v>
      </c>
      <c r="E118" s="42" t="s">
        <v>2512</v>
      </c>
      <c r="F118" s="96" t="s">
        <v>860</v>
      </c>
    </row>
    <row r="119" spans="1:6" s="35" customFormat="1" hidden="1" x14ac:dyDescent="0.3">
      <c r="A119" s="33">
        <v>10426</v>
      </c>
      <c r="B119" s="119" t="s">
        <v>2514</v>
      </c>
      <c r="C119" s="120" t="s">
        <v>2517</v>
      </c>
      <c r="D119" s="118" t="s">
        <v>1301</v>
      </c>
      <c r="E119" s="42" t="s">
        <v>2512</v>
      </c>
      <c r="F119" s="96" t="s">
        <v>860</v>
      </c>
    </row>
    <row r="120" spans="1:6" s="35" customFormat="1" hidden="1" x14ac:dyDescent="0.3">
      <c r="A120" s="33">
        <v>392761</v>
      </c>
      <c r="B120" s="119" t="s">
        <v>2515</v>
      </c>
      <c r="C120" s="120" t="s">
        <v>2516</v>
      </c>
      <c r="D120" s="118" t="s">
        <v>202</v>
      </c>
      <c r="E120" s="42" t="s">
        <v>2512</v>
      </c>
      <c r="F120" s="96" t="s">
        <v>860</v>
      </c>
    </row>
    <row r="121" spans="1:6" s="35" customFormat="1" hidden="1" x14ac:dyDescent="0.3">
      <c r="A121" s="33">
        <v>356006</v>
      </c>
      <c r="B121" s="119" t="s">
        <v>2519</v>
      </c>
      <c r="C121" s="120" t="s">
        <v>2520</v>
      </c>
      <c r="D121" s="118" t="s">
        <v>202</v>
      </c>
      <c r="E121" s="42" t="s">
        <v>2512</v>
      </c>
      <c r="F121" s="96" t="s">
        <v>860</v>
      </c>
    </row>
    <row r="122" spans="1:6" hidden="1" x14ac:dyDescent="0.3">
      <c r="A122" s="33" t="str">
        <f>"0011982"</f>
        <v>0011982</v>
      </c>
      <c r="B122" s="119" t="s">
        <v>2510</v>
      </c>
      <c r="C122" s="117" t="str">
        <f>"186360050531"</f>
        <v>186360050531</v>
      </c>
      <c r="D122" s="118" t="s">
        <v>25</v>
      </c>
      <c r="E122" s="42" t="s">
        <v>5</v>
      </c>
      <c r="F122" s="96">
        <v>43739</v>
      </c>
    </row>
    <row r="123" spans="1:6" hidden="1" x14ac:dyDescent="0.3">
      <c r="A123" s="33" t="str">
        <f>"0011983"</f>
        <v>0011983</v>
      </c>
      <c r="B123" s="119" t="s">
        <v>2511</v>
      </c>
      <c r="C123" s="117" t="str">
        <f>"186360050562"</f>
        <v>186360050562</v>
      </c>
      <c r="D123" s="118" t="s">
        <v>25</v>
      </c>
      <c r="E123" s="42" t="s">
        <v>5</v>
      </c>
      <c r="F123" s="96">
        <v>43739</v>
      </c>
    </row>
    <row r="124" spans="1:6" hidden="1" x14ac:dyDescent="0.3">
      <c r="A124" s="33" t="str">
        <f>"0698431"</f>
        <v>0698431</v>
      </c>
      <c r="B124" s="119" t="s">
        <v>2509</v>
      </c>
      <c r="C124" s="117" t="str">
        <f>"621433025042"</f>
        <v>621433025042</v>
      </c>
      <c r="D124" s="118" t="s">
        <v>124</v>
      </c>
      <c r="E124" s="42" t="s">
        <v>5</v>
      </c>
      <c r="F124" s="96">
        <v>43739</v>
      </c>
    </row>
    <row r="125" spans="1:6" hidden="1" x14ac:dyDescent="0.3">
      <c r="A125" s="33" t="str">
        <f>"0479188"</f>
        <v>0479188</v>
      </c>
      <c r="B125" s="119" t="s">
        <v>472</v>
      </c>
      <c r="C125" s="117" t="str">
        <f>"741498314605"</f>
        <v>741498314605</v>
      </c>
      <c r="D125" s="118" t="s">
        <v>294</v>
      </c>
      <c r="E125" s="42" t="s">
        <v>5</v>
      </c>
      <c r="F125" s="96">
        <v>43739</v>
      </c>
    </row>
    <row r="126" spans="1:6" hidden="1" x14ac:dyDescent="0.3">
      <c r="A126" s="33" t="str">
        <f>"0011562"</f>
        <v>0011562</v>
      </c>
      <c r="B126" s="119" t="s">
        <v>2507</v>
      </c>
      <c r="C126" s="117" t="str">
        <f>"627987151299"</f>
        <v>627987151299</v>
      </c>
      <c r="D126" s="118" t="s">
        <v>25</v>
      </c>
      <c r="E126" s="42" t="s">
        <v>2508</v>
      </c>
      <c r="F126" s="96">
        <v>43739</v>
      </c>
    </row>
    <row r="127" spans="1:6" hidden="1" x14ac:dyDescent="0.3">
      <c r="A127" s="33" t="str">
        <f>"0482356"</f>
        <v>0482356</v>
      </c>
      <c r="B127" s="119" t="s">
        <v>2506</v>
      </c>
      <c r="C127" s="117" t="str">
        <f>"627843580300"</f>
        <v>627843580300</v>
      </c>
      <c r="D127" s="118" t="s">
        <v>25</v>
      </c>
      <c r="E127" s="42" t="s">
        <v>5</v>
      </c>
      <c r="F127" s="96">
        <v>43739</v>
      </c>
    </row>
    <row r="128" spans="1:6" x14ac:dyDescent="0.3">
      <c r="A128" s="19">
        <v>620880</v>
      </c>
      <c r="B128" s="10" t="s">
        <v>2504</v>
      </c>
      <c r="C128" s="122">
        <v>8002062001607</v>
      </c>
      <c r="D128" s="118" t="s">
        <v>202</v>
      </c>
      <c r="E128" s="42" t="s">
        <v>2505</v>
      </c>
      <c r="F128" s="93"/>
    </row>
    <row r="129" spans="1:6" hidden="1" x14ac:dyDescent="0.3">
      <c r="A129" s="33">
        <v>545590</v>
      </c>
      <c r="B129" s="119" t="s">
        <v>2503</v>
      </c>
      <c r="C129" s="117">
        <v>9344154010869</v>
      </c>
      <c r="D129" s="118" t="s">
        <v>202</v>
      </c>
      <c r="E129" s="42" t="s">
        <v>5</v>
      </c>
      <c r="F129" s="96">
        <v>43712</v>
      </c>
    </row>
    <row r="130" spans="1:6" hidden="1" x14ac:dyDescent="0.3">
      <c r="A130" s="33" t="str">
        <f>"0376673"</f>
        <v>0376673</v>
      </c>
      <c r="B130" s="119" t="s">
        <v>2502</v>
      </c>
      <c r="C130" s="120" t="str">
        <f>"056327008373"</f>
        <v>056327008373</v>
      </c>
      <c r="D130" s="118" t="s">
        <v>25</v>
      </c>
      <c r="E130" s="55" t="s">
        <v>5</v>
      </c>
      <c r="F130" s="96">
        <v>43732</v>
      </c>
    </row>
    <row r="131" spans="1:6" hidden="1" x14ac:dyDescent="0.3">
      <c r="A131" s="33" t="s">
        <v>2497</v>
      </c>
      <c r="B131" s="119" t="s">
        <v>2498</v>
      </c>
      <c r="C131" s="120" t="s">
        <v>2499</v>
      </c>
      <c r="D131" s="118" t="s">
        <v>25</v>
      </c>
      <c r="E131" s="55" t="s">
        <v>86</v>
      </c>
      <c r="F131" s="96">
        <v>43732</v>
      </c>
    </row>
    <row r="132" spans="1:6" hidden="1" x14ac:dyDescent="0.3">
      <c r="A132" s="33" t="s">
        <v>2500</v>
      </c>
      <c r="B132" s="119" t="s">
        <v>241</v>
      </c>
      <c r="C132" s="120" t="s">
        <v>2501</v>
      </c>
      <c r="D132" s="118" t="s">
        <v>25</v>
      </c>
      <c r="E132" s="55" t="s">
        <v>86</v>
      </c>
      <c r="F132" s="96">
        <v>43732</v>
      </c>
    </row>
    <row r="133" spans="1:6" hidden="1" x14ac:dyDescent="0.3">
      <c r="A133" s="33" t="str">
        <f>"0573840"</f>
        <v>0573840</v>
      </c>
      <c r="B133" s="119" t="s">
        <v>2496</v>
      </c>
      <c r="C133" s="120" t="str">
        <f>"776029703948"</f>
        <v>776029703948</v>
      </c>
      <c r="D133" s="118" t="s">
        <v>25</v>
      </c>
      <c r="E133" s="55" t="s">
        <v>5</v>
      </c>
      <c r="F133" s="96">
        <v>43732</v>
      </c>
    </row>
    <row r="134" spans="1:6" ht="27.95" hidden="1" x14ac:dyDescent="0.3">
      <c r="A134" s="33" t="str">
        <f>"0676445"</f>
        <v>0676445</v>
      </c>
      <c r="B134" s="119" t="s">
        <v>2487</v>
      </c>
      <c r="C134" s="120" t="str">
        <f>"5901559949510"</f>
        <v>5901559949510</v>
      </c>
      <c r="D134" s="118" t="s">
        <v>127</v>
      </c>
      <c r="E134" s="55" t="s">
        <v>2495</v>
      </c>
      <c r="F134" s="96" t="s">
        <v>860</v>
      </c>
    </row>
    <row r="135" spans="1:6" hidden="1" x14ac:dyDescent="0.3">
      <c r="A135" s="33" t="str">
        <f>"0467209"</f>
        <v>0467209</v>
      </c>
      <c r="B135" s="119" t="s">
        <v>2493</v>
      </c>
      <c r="C135" s="120" t="str">
        <f>"620707006855"</f>
        <v>620707006855</v>
      </c>
      <c r="D135" s="118" t="s">
        <v>37</v>
      </c>
      <c r="E135" s="55" t="s">
        <v>2494</v>
      </c>
      <c r="F135" s="96">
        <v>43732</v>
      </c>
    </row>
    <row r="136" spans="1:6" hidden="1" x14ac:dyDescent="0.3">
      <c r="A136" s="33" t="str">
        <f>"0374702"</f>
        <v>0374702</v>
      </c>
      <c r="B136" s="119" t="s">
        <v>2492</v>
      </c>
      <c r="C136" s="120" t="str">
        <f>"3080216034645"</f>
        <v>3080216034645</v>
      </c>
      <c r="D136" s="118" t="s">
        <v>29</v>
      </c>
      <c r="E136" s="55" t="s">
        <v>5</v>
      </c>
      <c r="F136" s="96">
        <v>43732</v>
      </c>
    </row>
    <row r="137" spans="1:6" hidden="1" x14ac:dyDescent="0.3">
      <c r="A137" s="33" t="str">
        <f>"0508564"</f>
        <v>0508564</v>
      </c>
      <c r="B137" s="119" t="s">
        <v>2490</v>
      </c>
      <c r="C137" s="120" t="str">
        <f>"870766000466"</f>
        <v>870766000466</v>
      </c>
      <c r="D137" s="118" t="s">
        <v>25</v>
      </c>
      <c r="E137" s="55" t="s">
        <v>5</v>
      </c>
      <c r="F137" s="96">
        <v>43725</v>
      </c>
    </row>
    <row r="138" spans="1:6" hidden="1" x14ac:dyDescent="0.3">
      <c r="A138" s="33" t="str">
        <f>"0569228"</f>
        <v>0569228</v>
      </c>
      <c r="B138" s="119" t="s">
        <v>2488</v>
      </c>
      <c r="C138" s="120" t="str">
        <f>"627843798798"</f>
        <v>627843798798</v>
      </c>
      <c r="D138" s="118" t="s">
        <v>25</v>
      </c>
      <c r="E138" s="55" t="s">
        <v>2489</v>
      </c>
      <c r="F138" s="96">
        <v>43725</v>
      </c>
    </row>
    <row r="139" spans="1:6" hidden="1" x14ac:dyDescent="0.3">
      <c r="A139" s="33" t="str">
        <f>"0676445"</f>
        <v>0676445</v>
      </c>
      <c r="B139" s="119" t="s">
        <v>2487</v>
      </c>
      <c r="C139" s="120" t="str">
        <f>"5901559949510"</f>
        <v>5901559949510</v>
      </c>
      <c r="D139" s="118" t="s">
        <v>127</v>
      </c>
      <c r="E139" s="55" t="s">
        <v>2491</v>
      </c>
      <c r="F139" s="96">
        <v>43725</v>
      </c>
    </row>
    <row r="140" spans="1:6" hidden="1" x14ac:dyDescent="0.3">
      <c r="A140" s="33" t="str">
        <f>"0569236"</f>
        <v>0569236</v>
      </c>
      <c r="B140" s="119" t="s">
        <v>2486</v>
      </c>
      <c r="C140" s="120" t="str">
        <f>"628679910842"</f>
        <v>628679910842</v>
      </c>
      <c r="D140" s="118" t="s">
        <v>124</v>
      </c>
      <c r="E140" s="55" t="s">
        <v>5</v>
      </c>
      <c r="F140" s="96">
        <v>43725</v>
      </c>
    </row>
    <row r="141" spans="1:6" hidden="1" x14ac:dyDescent="0.3">
      <c r="A141" s="33">
        <v>900621</v>
      </c>
      <c r="B141" s="119" t="s">
        <v>2476</v>
      </c>
      <c r="C141" s="120">
        <v>56327072534</v>
      </c>
      <c r="D141" s="118" t="s">
        <v>106</v>
      </c>
      <c r="E141" s="55" t="s">
        <v>2482</v>
      </c>
      <c r="F141" s="96">
        <v>43718</v>
      </c>
    </row>
    <row r="142" spans="1:6" hidden="1" x14ac:dyDescent="0.3">
      <c r="A142" s="33">
        <v>906560</v>
      </c>
      <c r="B142" s="119" t="s">
        <v>2477</v>
      </c>
      <c r="C142" s="120">
        <v>56327182530</v>
      </c>
      <c r="D142" s="118" t="s">
        <v>106</v>
      </c>
      <c r="E142" s="55" t="s">
        <v>2483</v>
      </c>
      <c r="F142" s="96">
        <v>43718</v>
      </c>
    </row>
    <row r="143" spans="1:6" hidden="1" x14ac:dyDescent="0.3">
      <c r="A143" s="33" t="str">
        <f>"0124990"</f>
        <v>0124990</v>
      </c>
      <c r="B143" s="119" t="s">
        <v>2480</v>
      </c>
      <c r="C143" s="120" t="str">
        <f>"824824171476"</f>
        <v>824824171476</v>
      </c>
      <c r="D143" s="118" t="s">
        <v>25</v>
      </c>
      <c r="E143" s="45" t="s">
        <v>2481</v>
      </c>
      <c r="F143" s="96" t="s">
        <v>860</v>
      </c>
    </row>
    <row r="144" spans="1:6" hidden="1" x14ac:dyDescent="0.3">
      <c r="A144" s="33" t="str">
        <f>"0010526"</f>
        <v>0010526</v>
      </c>
      <c r="B144" s="119" t="s">
        <v>2478</v>
      </c>
      <c r="C144" s="120" t="str">
        <f>"812339000787"</f>
        <v>812339000787</v>
      </c>
      <c r="D144" s="118" t="s">
        <v>25</v>
      </c>
      <c r="E144" s="42" t="s">
        <v>5</v>
      </c>
      <c r="F144" s="96">
        <v>43712</v>
      </c>
    </row>
    <row r="145" spans="1:6" hidden="1" x14ac:dyDescent="0.3">
      <c r="A145" s="33" t="str">
        <f>"0326678"</f>
        <v>0326678</v>
      </c>
      <c r="B145" s="119" t="s">
        <v>2475</v>
      </c>
      <c r="C145" s="120" t="str">
        <f>"798713110139"</f>
        <v>798713110139</v>
      </c>
      <c r="D145" s="118" t="s">
        <v>2231</v>
      </c>
      <c r="E145" s="42" t="s">
        <v>5</v>
      </c>
      <c r="F145" s="96">
        <v>43712</v>
      </c>
    </row>
    <row r="146" spans="1:6" ht="27.95" hidden="1" x14ac:dyDescent="0.3">
      <c r="A146" s="123">
        <v>900621</v>
      </c>
      <c r="B146" s="124" t="s">
        <v>2476</v>
      </c>
      <c r="C146" s="125">
        <v>56327072534</v>
      </c>
      <c r="D146" s="126" t="s">
        <v>106</v>
      </c>
      <c r="E146" s="127" t="s">
        <v>2484</v>
      </c>
      <c r="F146" s="111">
        <v>43712</v>
      </c>
    </row>
    <row r="147" spans="1:6" ht="27.95" hidden="1" x14ac:dyDescent="0.3">
      <c r="A147" s="123">
        <v>906560</v>
      </c>
      <c r="B147" s="124" t="s">
        <v>2477</v>
      </c>
      <c r="C147" s="125">
        <v>56327182530</v>
      </c>
      <c r="D147" s="126" t="s">
        <v>106</v>
      </c>
      <c r="E147" s="127" t="s">
        <v>2485</v>
      </c>
      <c r="F147" s="111">
        <v>43712</v>
      </c>
    </row>
    <row r="148" spans="1:6" ht="27.95" hidden="1" x14ac:dyDescent="0.3">
      <c r="A148" s="33">
        <v>10103</v>
      </c>
      <c r="B148" s="119" t="s">
        <v>2474</v>
      </c>
      <c r="C148" s="120" t="str">
        <f>"830021000716"</f>
        <v>830021000716</v>
      </c>
      <c r="D148" s="118" t="s">
        <v>37</v>
      </c>
      <c r="E148" s="55" t="s">
        <v>2479</v>
      </c>
      <c r="F148" s="96">
        <v>43712</v>
      </c>
    </row>
    <row r="149" spans="1:6" hidden="1" x14ac:dyDescent="0.3">
      <c r="A149" s="33">
        <v>508119</v>
      </c>
      <c r="B149" s="119" t="s">
        <v>2473</v>
      </c>
      <c r="C149" s="120" t="str">
        <f>"627843405146"</f>
        <v>627843405146</v>
      </c>
      <c r="D149" s="118" t="s">
        <v>25</v>
      </c>
      <c r="E149" s="42" t="s">
        <v>5</v>
      </c>
      <c r="F149" s="96">
        <v>43704</v>
      </c>
    </row>
    <row r="150" spans="1:6" hidden="1" x14ac:dyDescent="0.3">
      <c r="A150" s="33">
        <v>10466</v>
      </c>
      <c r="B150" s="119" t="s">
        <v>2472</v>
      </c>
      <c r="C150" s="120" t="str">
        <f>"186360050593"</f>
        <v>186360050593</v>
      </c>
      <c r="D150" s="118" t="s">
        <v>25</v>
      </c>
      <c r="E150" s="42" t="s">
        <v>5</v>
      </c>
      <c r="F150" s="96">
        <v>43704</v>
      </c>
    </row>
    <row r="151" spans="1:6" hidden="1" x14ac:dyDescent="0.3">
      <c r="A151" s="33">
        <v>616300</v>
      </c>
      <c r="B151" s="119" t="s">
        <v>2471</v>
      </c>
      <c r="C151" s="120" t="str">
        <f>"5740700997822"</f>
        <v>5740700997822</v>
      </c>
      <c r="D151" s="118" t="s">
        <v>29</v>
      </c>
      <c r="E151" s="42" t="s">
        <v>5</v>
      </c>
      <c r="F151" s="96">
        <v>43704</v>
      </c>
    </row>
    <row r="152" spans="1:6" s="35" customFormat="1" hidden="1" x14ac:dyDescent="0.3">
      <c r="A152" s="33">
        <v>485862</v>
      </c>
      <c r="B152" s="119" t="s">
        <v>2468</v>
      </c>
      <c r="C152" s="120" t="s">
        <v>2469</v>
      </c>
      <c r="D152" s="118" t="s">
        <v>202</v>
      </c>
      <c r="E152" s="42" t="s">
        <v>2470</v>
      </c>
      <c r="F152" s="96" t="s">
        <v>860</v>
      </c>
    </row>
    <row r="153" spans="1:6" ht="27.95" hidden="1" x14ac:dyDescent="0.3">
      <c r="A153" s="19">
        <v>214890</v>
      </c>
      <c r="B153" s="10" t="s">
        <v>2460</v>
      </c>
      <c r="C153" s="122">
        <v>874537094142</v>
      </c>
      <c r="D153" s="118" t="s">
        <v>202</v>
      </c>
      <c r="E153" s="55" t="s">
        <v>2464</v>
      </c>
      <c r="F153" s="96">
        <v>43690</v>
      </c>
    </row>
    <row r="154" spans="1:6" ht="27.95" hidden="1" x14ac:dyDescent="0.3">
      <c r="A154" s="19">
        <v>65367</v>
      </c>
      <c r="B154" s="10" t="s">
        <v>2461</v>
      </c>
      <c r="C154" s="122">
        <v>874537084143</v>
      </c>
      <c r="D154" s="118" t="s">
        <v>202</v>
      </c>
      <c r="E154" s="55" t="s">
        <v>2463</v>
      </c>
      <c r="F154" s="96">
        <v>43690</v>
      </c>
    </row>
    <row r="155" spans="1:6" ht="27.95" hidden="1" x14ac:dyDescent="0.3">
      <c r="A155" s="19">
        <v>609875</v>
      </c>
      <c r="B155" s="10" t="s">
        <v>2461</v>
      </c>
      <c r="C155" s="122">
        <v>874537132141</v>
      </c>
      <c r="D155" s="19" t="s">
        <v>759</v>
      </c>
      <c r="E155" s="55" t="s">
        <v>2465</v>
      </c>
      <c r="F155" s="96">
        <v>43690</v>
      </c>
    </row>
    <row r="156" spans="1:6" ht="27.95" hidden="1" x14ac:dyDescent="0.3">
      <c r="A156" s="19">
        <v>637272</v>
      </c>
      <c r="B156" s="10" t="s">
        <v>2455</v>
      </c>
      <c r="C156" s="122">
        <v>874537098140</v>
      </c>
      <c r="D156" s="19" t="s">
        <v>759</v>
      </c>
      <c r="E156" s="55" t="s">
        <v>2466</v>
      </c>
      <c r="F156" s="96">
        <v>43690</v>
      </c>
    </row>
    <row r="157" spans="1:6" ht="27.95" hidden="1" x14ac:dyDescent="0.3">
      <c r="A157" s="19">
        <v>637264</v>
      </c>
      <c r="B157" s="10" t="s">
        <v>2462</v>
      </c>
      <c r="C157" s="122">
        <v>874537105145</v>
      </c>
      <c r="D157" s="19" t="s">
        <v>759</v>
      </c>
      <c r="E157" s="55" t="s">
        <v>2467</v>
      </c>
      <c r="F157" s="96">
        <v>43690</v>
      </c>
    </row>
    <row r="158" spans="1:6" s="35" customFormat="1" ht="27.95" hidden="1" x14ac:dyDescent="0.3">
      <c r="A158" s="33">
        <v>130989</v>
      </c>
      <c r="B158" s="119" t="s">
        <v>2458</v>
      </c>
      <c r="C158" s="117">
        <v>670459006160</v>
      </c>
      <c r="D158" s="118" t="s">
        <v>202</v>
      </c>
      <c r="E158" s="55" t="s">
        <v>2457</v>
      </c>
      <c r="F158" s="96">
        <v>43690</v>
      </c>
    </row>
    <row r="159" spans="1:6" s="35" customFormat="1" ht="27.95" hidden="1" x14ac:dyDescent="0.3">
      <c r="A159" s="33">
        <v>146845</v>
      </c>
      <c r="B159" s="119" t="s">
        <v>2455</v>
      </c>
      <c r="C159" s="121">
        <v>874537086147</v>
      </c>
      <c r="D159" s="118" t="s">
        <v>496</v>
      </c>
      <c r="E159" s="55" t="s">
        <v>2456</v>
      </c>
      <c r="F159" s="96">
        <v>43690</v>
      </c>
    </row>
    <row r="160" spans="1:6" s="35" customFormat="1" x14ac:dyDescent="0.3">
      <c r="A160" s="33">
        <v>616276</v>
      </c>
      <c r="B160" s="119" t="s">
        <v>2453</v>
      </c>
      <c r="C160" s="117">
        <v>8002062000419</v>
      </c>
      <c r="D160" s="118" t="s">
        <v>496</v>
      </c>
      <c r="E160" s="42" t="s">
        <v>2454</v>
      </c>
      <c r="F160" s="96" t="s">
        <v>860</v>
      </c>
    </row>
    <row r="161" spans="1:6" s="35" customFormat="1" hidden="1" x14ac:dyDescent="0.3">
      <c r="A161" s="33">
        <v>434597</v>
      </c>
      <c r="B161" s="119" t="s">
        <v>2459</v>
      </c>
      <c r="C161" s="120">
        <v>99988071294</v>
      </c>
      <c r="D161" s="118" t="s">
        <v>202</v>
      </c>
      <c r="E161" s="42" t="s">
        <v>5</v>
      </c>
      <c r="F161" s="96">
        <v>43676</v>
      </c>
    </row>
    <row r="162" spans="1:6" s="35" customFormat="1" hidden="1" x14ac:dyDescent="0.3">
      <c r="A162" s="33">
        <v>280867</v>
      </c>
      <c r="B162" s="119" t="s">
        <v>2452</v>
      </c>
      <c r="C162" s="120">
        <v>85000016831</v>
      </c>
      <c r="D162" s="118" t="s">
        <v>202</v>
      </c>
      <c r="E162" s="42" t="s">
        <v>5</v>
      </c>
      <c r="F162" s="96">
        <v>43676</v>
      </c>
    </row>
    <row r="163" spans="1:6" s="35" customFormat="1" x14ac:dyDescent="0.3">
      <c r="A163" s="33">
        <v>155051</v>
      </c>
      <c r="B163" s="119" t="s">
        <v>2450</v>
      </c>
      <c r="C163" s="120" t="s">
        <v>1761</v>
      </c>
      <c r="D163" s="118" t="s">
        <v>202</v>
      </c>
      <c r="E163" s="42" t="s">
        <v>2451</v>
      </c>
      <c r="F163" s="96">
        <v>43690</v>
      </c>
    </row>
    <row r="164" spans="1:6" s="35" customFormat="1" x14ac:dyDescent="0.3">
      <c r="A164" s="33">
        <v>285585</v>
      </c>
      <c r="B164" s="119" t="s">
        <v>2447</v>
      </c>
      <c r="C164" s="120" t="s">
        <v>2448</v>
      </c>
      <c r="D164" s="118" t="s">
        <v>202</v>
      </c>
      <c r="E164" s="42" t="s">
        <v>2449</v>
      </c>
      <c r="F164" s="96">
        <v>43690</v>
      </c>
    </row>
    <row r="165" spans="1:6" hidden="1" x14ac:dyDescent="0.3">
      <c r="A165" s="33" t="str">
        <f>"0618199"</f>
        <v>0618199</v>
      </c>
      <c r="B165" s="119" t="s">
        <v>2428</v>
      </c>
      <c r="C165" s="120" t="str">
        <f>"628055930327"</f>
        <v>628055930327</v>
      </c>
      <c r="D165" s="118" t="s">
        <v>98</v>
      </c>
      <c r="E165" s="42" t="s">
        <v>5</v>
      </c>
      <c r="F165" s="96">
        <v>43690</v>
      </c>
    </row>
    <row r="166" spans="1:6" s="35" customFormat="1" hidden="1" x14ac:dyDescent="0.3">
      <c r="A166" s="33">
        <v>497453</v>
      </c>
      <c r="B166" s="119" t="s">
        <v>2444</v>
      </c>
      <c r="C166" s="120" t="s">
        <v>2445</v>
      </c>
      <c r="D166" s="118" t="s">
        <v>25</v>
      </c>
      <c r="E166" s="42" t="s">
        <v>5</v>
      </c>
      <c r="F166" s="96">
        <v>43684</v>
      </c>
    </row>
    <row r="167" spans="1:6" s="35" customFormat="1" hidden="1" x14ac:dyDescent="0.3">
      <c r="A167" s="33">
        <v>927392</v>
      </c>
      <c r="B167" s="119" t="s">
        <v>236</v>
      </c>
      <c r="C167" s="120" t="str">
        <f>"772285021000"</f>
        <v>772285021000</v>
      </c>
      <c r="D167" s="118" t="s">
        <v>106</v>
      </c>
      <c r="E167" s="42" t="s">
        <v>5</v>
      </c>
      <c r="F167" s="96">
        <v>43684</v>
      </c>
    </row>
    <row r="168" spans="1:6" s="35" customFormat="1" hidden="1" x14ac:dyDescent="0.3">
      <c r="A168" s="33">
        <v>574665</v>
      </c>
      <c r="B168" s="119" t="s">
        <v>2446</v>
      </c>
      <c r="C168" s="120" t="str">
        <f>"056910240449"</f>
        <v>056910240449</v>
      </c>
      <c r="D168" s="118" t="s">
        <v>124</v>
      </c>
      <c r="E168" s="42" t="s">
        <v>5</v>
      </c>
      <c r="F168" s="96">
        <v>43684</v>
      </c>
    </row>
    <row r="169" spans="1:6" s="35" customFormat="1" hidden="1" x14ac:dyDescent="0.3">
      <c r="A169" s="33" t="str">
        <f>"499699"</f>
        <v>499699</v>
      </c>
      <c r="B169" s="106" t="s">
        <v>2442</v>
      </c>
      <c r="C169" s="107" t="str">
        <f>"7791728010831"</f>
        <v>7791728010831</v>
      </c>
      <c r="D169" s="43" t="s">
        <v>202</v>
      </c>
      <c r="E169" s="42" t="s">
        <v>5</v>
      </c>
      <c r="F169" s="96" t="s">
        <v>860</v>
      </c>
    </row>
    <row r="170" spans="1:6" s="35" customFormat="1" hidden="1" x14ac:dyDescent="0.3">
      <c r="A170" s="33" t="str">
        <f>"545715"</f>
        <v>545715</v>
      </c>
      <c r="B170" s="106" t="s">
        <v>2443</v>
      </c>
      <c r="C170" s="107" t="str">
        <f>"7791728010275"</f>
        <v>7791728010275</v>
      </c>
      <c r="D170" s="43" t="s">
        <v>202</v>
      </c>
      <c r="E170" s="42" t="s">
        <v>5</v>
      </c>
      <c r="F170" s="96" t="s">
        <v>860</v>
      </c>
    </row>
    <row r="171" spans="1:6" s="35" customFormat="1" hidden="1" x14ac:dyDescent="0.3">
      <c r="A171" s="33" t="str">
        <f>"461509"</f>
        <v>461509</v>
      </c>
      <c r="B171" s="106" t="s">
        <v>2441</v>
      </c>
      <c r="C171" s="107" t="str">
        <f>"6002039009386"</f>
        <v>6002039009386</v>
      </c>
      <c r="D171" s="43" t="s">
        <v>202</v>
      </c>
      <c r="E171" s="42" t="s">
        <v>5</v>
      </c>
      <c r="F171" s="96" t="s">
        <v>860</v>
      </c>
    </row>
    <row r="172" spans="1:6" s="35" customFormat="1" hidden="1" x14ac:dyDescent="0.3">
      <c r="A172" s="33" t="str">
        <f>"0544049"</f>
        <v>0544049</v>
      </c>
      <c r="B172" s="106" t="s">
        <v>2427</v>
      </c>
      <c r="C172" s="107" t="str">
        <f>"628055930013"</f>
        <v>628055930013</v>
      </c>
      <c r="D172" s="43" t="s">
        <v>25</v>
      </c>
      <c r="E172" s="42" t="s">
        <v>5</v>
      </c>
      <c r="F172" s="96">
        <v>43676</v>
      </c>
    </row>
    <row r="173" spans="1:6" s="35" customFormat="1" hidden="1" x14ac:dyDescent="0.3">
      <c r="A173" s="33" t="str">
        <f>"0499038"</f>
        <v>0499038</v>
      </c>
      <c r="B173" s="106" t="s">
        <v>2440</v>
      </c>
      <c r="C173" s="107" t="str">
        <f>"628451939115"</f>
        <v>628451939115</v>
      </c>
      <c r="D173" s="43" t="s">
        <v>25</v>
      </c>
      <c r="E173" s="42" t="s">
        <v>5</v>
      </c>
      <c r="F173" s="96">
        <v>43669</v>
      </c>
    </row>
    <row r="174" spans="1:6" s="35" customFormat="1" hidden="1" x14ac:dyDescent="0.3">
      <c r="A174" s="33" t="str">
        <f>"0413427"</f>
        <v>0413427</v>
      </c>
      <c r="B174" s="106" t="s">
        <v>2437</v>
      </c>
      <c r="C174" s="107" t="str">
        <f>"626824700089"</f>
        <v>626824700089</v>
      </c>
      <c r="D174" s="43" t="s">
        <v>37</v>
      </c>
      <c r="E174" s="42" t="s">
        <v>5</v>
      </c>
      <c r="F174" s="96">
        <v>43669</v>
      </c>
    </row>
    <row r="175" spans="1:6" s="35" customFormat="1" hidden="1" x14ac:dyDescent="0.3">
      <c r="A175" s="33" t="str">
        <f>"0414946"</f>
        <v>0414946</v>
      </c>
      <c r="B175" s="106" t="s">
        <v>2438</v>
      </c>
      <c r="C175" s="107" t="str">
        <f>"5060154914030"</f>
        <v>5060154914030</v>
      </c>
      <c r="D175" s="43" t="s">
        <v>48</v>
      </c>
      <c r="E175" s="42" t="s">
        <v>2439</v>
      </c>
      <c r="F175" s="96">
        <v>43669</v>
      </c>
    </row>
    <row r="176" spans="1:6" s="35" customFormat="1" hidden="1" x14ac:dyDescent="0.3">
      <c r="A176" s="33" t="str">
        <f>"0437244"</f>
        <v>0437244</v>
      </c>
      <c r="B176" s="106" t="s">
        <v>2431</v>
      </c>
      <c r="C176" s="107" t="str">
        <f>"812652000037"</f>
        <v>812652000037</v>
      </c>
      <c r="D176" s="43" t="s">
        <v>25</v>
      </c>
      <c r="E176" s="42" t="s">
        <v>2432</v>
      </c>
      <c r="F176" s="96">
        <v>43661</v>
      </c>
    </row>
    <row r="177" spans="1:6" s="35" customFormat="1" hidden="1" x14ac:dyDescent="0.3">
      <c r="A177" s="33" t="str">
        <f>"0404335"</f>
        <v>0404335</v>
      </c>
      <c r="B177" s="106" t="s">
        <v>2433</v>
      </c>
      <c r="C177" s="107" t="str">
        <f>"628669062018"</f>
        <v>628669062018</v>
      </c>
      <c r="D177" s="64" t="s">
        <v>106</v>
      </c>
      <c r="E177" s="42" t="s">
        <v>5</v>
      </c>
      <c r="F177" s="96">
        <v>43661</v>
      </c>
    </row>
    <row r="178" spans="1:6" s="35" customFormat="1" hidden="1" x14ac:dyDescent="0.3">
      <c r="A178" s="110">
        <v>464792</v>
      </c>
      <c r="B178" s="106" t="s">
        <v>2434</v>
      </c>
      <c r="C178" s="117">
        <v>627843456285</v>
      </c>
      <c r="D178" s="43" t="s">
        <v>294</v>
      </c>
      <c r="E178" s="42" t="s">
        <v>5</v>
      </c>
      <c r="F178" s="96">
        <v>43661</v>
      </c>
    </row>
    <row r="179" spans="1:6" s="35" customFormat="1" hidden="1" x14ac:dyDescent="0.3">
      <c r="A179" s="110">
        <v>464834</v>
      </c>
      <c r="B179" s="106" t="s">
        <v>2435</v>
      </c>
      <c r="C179" s="117">
        <v>627843456353</v>
      </c>
      <c r="D179" s="43" t="s">
        <v>294</v>
      </c>
      <c r="E179" s="42" t="s">
        <v>5</v>
      </c>
      <c r="F179" s="96">
        <v>43661</v>
      </c>
    </row>
    <row r="180" spans="1:6" s="35" customFormat="1" hidden="1" x14ac:dyDescent="0.3">
      <c r="A180" s="110">
        <v>523696</v>
      </c>
      <c r="B180" s="106" t="s">
        <v>2436</v>
      </c>
      <c r="C180" s="117">
        <v>628055731139</v>
      </c>
      <c r="D180" s="43" t="s">
        <v>294</v>
      </c>
      <c r="E180" s="42" t="s">
        <v>5</v>
      </c>
      <c r="F180" s="96">
        <v>43661</v>
      </c>
    </row>
    <row r="181" spans="1:6" s="35" customFormat="1" hidden="1" x14ac:dyDescent="0.3">
      <c r="A181" s="110">
        <v>461905</v>
      </c>
      <c r="B181" s="106" t="s">
        <v>2421</v>
      </c>
      <c r="C181" s="117">
        <v>627843532712</v>
      </c>
      <c r="D181" s="43" t="s">
        <v>25</v>
      </c>
      <c r="E181" s="42" t="s">
        <v>2426</v>
      </c>
      <c r="F181" s="96" t="s">
        <v>860</v>
      </c>
    </row>
    <row r="182" spans="1:6" s="35" customFormat="1" hidden="1" x14ac:dyDescent="0.3">
      <c r="A182" s="110">
        <v>517102</v>
      </c>
      <c r="B182" s="106" t="s">
        <v>2422</v>
      </c>
      <c r="C182" s="117">
        <v>627843532668</v>
      </c>
      <c r="D182" s="43" t="s">
        <v>25</v>
      </c>
      <c r="E182" s="42" t="s">
        <v>2426</v>
      </c>
      <c r="F182" s="96" t="s">
        <v>860</v>
      </c>
    </row>
    <row r="183" spans="1:6" s="35" customFormat="1" hidden="1" x14ac:dyDescent="0.3">
      <c r="A183" s="110">
        <v>517615</v>
      </c>
      <c r="B183" s="106" t="s">
        <v>2423</v>
      </c>
      <c r="C183" s="117">
        <v>627843532651</v>
      </c>
      <c r="D183" s="43" t="s">
        <v>25</v>
      </c>
      <c r="E183" s="42" t="s">
        <v>2426</v>
      </c>
      <c r="F183" s="96" t="s">
        <v>860</v>
      </c>
    </row>
    <row r="184" spans="1:6" s="35" customFormat="1" hidden="1" x14ac:dyDescent="0.3">
      <c r="A184" s="110">
        <v>517631</v>
      </c>
      <c r="B184" s="106" t="s">
        <v>2424</v>
      </c>
      <c r="C184" s="117">
        <v>627843532682</v>
      </c>
      <c r="D184" s="43" t="s">
        <v>25</v>
      </c>
      <c r="E184" s="42" t="s">
        <v>2426</v>
      </c>
      <c r="F184" s="96" t="s">
        <v>860</v>
      </c>
    </row>
    <row r="185" spans="1:6" s="35" customFormat="1" hidden="1" x14ac:dyDescent="0.3">
      <c r="A185" s="110">
        <v>517656</v>
      </c>
      <c r="B185" s="106" t="s">
        <v>2425</v>
      </c>
      <c r="C185" s="117">
        <v>627843532743</v>
      </c>
      <c r="D185" s="43" t="s">
        <v>25</v>
      </c>
      <c r="E185" s="42" t="s">
        <v>2426</v>
      </c>
      <c r="F185" s="96" t="s">
        <v>860</v>
      </c>
    </row>
    <row r="186" spans="1:6" s="35" customFormat="1" hidden="1" x14ac:dyDescent="0.3">
      <c r="A186" s="33" t="str">
        <f>"0010456"</f>
        <v>0010456</v>
      </c>
      <c r="B186" s="106" t="s">
        <v>2418</v>
      </c>
      <c r="C186" s="107" t="str">
        <f>"186360050463"</f>
        <v>186360050463</v>
      </c>
      <c r="D186" s="43" t="s">
        <v>25</v>
      </c>
      <c r="E186" s="42" t="s">
        <v>2419</v>
      </c>
      <c r="F186" s="96">
        <v>43655</v>
      </c>
    </row>
    <row r="187" spans="1:6" s="35" customFormat="1" hidden="1" x14ac:dyDescent="0.3">
      <c r="A187" s="33" t="str">
        <f>"0635425"</f>
        <v>0635425</v>
      </c>
      <c r="B187" s="106" t="s">
        <v>2420</v>
      </c>
      <c r="C187" s="107" t="str">
        <f>"186360050333"</f>
        <v>186360050333</v>
      </c>
      <c r="D187" s="43" t="s">
        <v>25</v>
      </c>
      <c r="E187" s="42" t="s">
        <v>2419</v>
      </c>
      <c r="F187" s="96">
        <v>43655</v>
      </c>
    </row>
    <row r="188" spans="1:6" hidden="1" x14ac:dyDescent="0.3">
      <c r="A188" s="33" t="str">
        <f>"0450296"</f>
        <v>0450296</v>
      </c>
      <c r="B188" s="106" t="s">
        <v>2415</v>
      </c>
      <c r="C188" s="107" t="str">
        <f>"186360000123"</f>
        <v>186360000123</v>
      </c>
      <c r="D188" s="43" t="s">
        <v>25</v>
      </c>
      <c r="E188" s="42" t="s">
        <v>5</v>
      </c>
      <c r="F188" s="96">
        <v>43655</v>
      </c>
    </row>
    <row r="189" spans="1:6" hidden="1" x14ac:dyDescent="0.3">
      <c r="A189" s="33">
        <v>523381</v>
      </c>
      <c r="B189" s="106" t="s">
        <v>500</v>
      </c>
      <c r="C189" s="117">
        <v>628055930228</v>
      </c>
      <c r="D189" s="43" t="s">
        <v>25</v>
      </c>
      <c r="E189" s="45" t="s">
        <v>2430</v>
      </c>
      <c r="F189" s="96">
        <v>43655</v>
      </c>
    </row>
    <row r="190" spans="1:6" hidden="1" x14ac:dyDescent="0.3">
      <c r="A190" s="33">
        <v>523399</v>
      </c>
      <c r="B190" s="106" t="s">
        <v>293</v>
      </c>
      <c r="C190" s="117">
        <v>628055930259</v>
      </c>
      <c r="D190" s="43" t="s">
        <v>25</v>
      </c>
      <c r="E190" s="45" t="s">
        <v>2430</v>
      </c>
      <c r="F190" s="96">
        <v>43655</v>
      </c>
    </row>
    <row r="191" spans="1:6" hidden="1" x14ac:dyDescent="0.3">
      <c r="A191" s="33">
        <v>544049</v>
      </c>
      <c r="B191" s="106" t="s">
        <v>2427</v>
      </c>
      <c r="C191" s="117">
        <v>628055930013</v>
      </c>
      <c r="D191" s="43" t="s">
        <v>25</v>
      </c>
      <c r="E191" s="45" t="s">
        <v>2430</v>
      </c>
      <c r="F191" s="96">
        <v>43655</v>
      </c>
    </row>
    <row r="192" spans="1:6" s="35" customFormat="1" hidden="1" x14ac:dyDescent="0.3">
      <c r="A192" s="33">
        <v>618199</v>
      </c>
      <c r="B192" s="106" t="s">
        <v>2428</v>
      </c>
      <c r="C192" s="117">
        <v>628055930327</v>
      </c>
      <c r="D192" s="43" t="s">
        <v>98</v>
      </c>
      <c r="E192" s="10" t="s">
        <v>2429</v>
      </c>
      <c r="F192" s="96">
        <v>43655</v>
      </c>
    </row>
    <row r="193" spans="1:6" s="35" customFormat="1" hidden="1" x14ac:dyDescent="0.3">
      <c r="A193" s="33">
        <v>698373</v>
      </c>
      <c r="B193" s="106" t="s">
        <v>2416</v>
      </c>
      <c r="C193" s="107" t="str">
        <f>"644216609604"</f>
        <v>644216609604</v>
      </c>
      <c r="D193" s="43" t="s">
        <v>25</v>
      </c>
      <c r="E193" s="42" t="s">
        <v>2417</v>
      </c>
      <c r="F193" s="96" t="s">
        <v>860</v>
      </c>
    </row>
    <row r="194" spans="1:6" s="35" customFormat="1" hidden="1" x14ac:dyDescent="0.3">
      <c r="A194" s="33">
        <v>145086</v>
      </c>
      <c r="B194" s="106" t="s">
        <v>2413</v>
      </c>
      <c r="C194" s="107" t="s">
        <v>2414</v>
      </c>
      <c r="D194" s="43" t="s">
        <v>202</v>
      </c>
      <c r="E194" s="42" t="s">
        <v>5</v>
      </c>
      <c r="F194" s="96" t="s">
        <v>860</v>
      </c>
    </row>
    <row r="195" spans="1:6" s="35" customFormat="1" hidden="1" x14ac:dyDescent="0.3">
      <c r="A195" s="33">
        <v>648402</v>
      </c>
      <c r="B195" s="106" t="s">
        <v>2406</v>
      </c>
      <c r="C195" s="107" t="s">
        <v>2407</v>
      </c>
      <c r="D195" s="43" t="s">
        <v>202</v>
      </c>
      <c r="E195" s="42" t="s">
        <v>2408</v>
      </c>
      <c r="F195" s="96" t="s">
        <v>860</v>
      </c>
    </row>
    <row r="196" spans="1:6" hidden="1" x14ac:dyDescent="0.3">
      <c r="A196" s="33">
        <v>215814</v>
      </c>
      <c r="B196" s="106" t="s">
        <v>2404</v>
      </c>
      <c r="C196" s="107" t="s">
        <v>2405</v>
      </c>
      <c r="D196" s="43" t="s">
        <v>202</v>
      </c>
      <c r="E196" s="42" t="s">
        <v>5</v>
      </c>
      <c r="F196" s="108" t="s">
        <v>860</v>
      </c>
    </row>
    <row r="197" spans="1:6" hidden="1" x14ac:dyDescent="0.3">
      <c r="A197" s="110">
        <v>519959</v>
      </c>
      <c r="B197" s="10" t="s">
        <v>1784</v>
      </c>
      <c r="C197" s="117">
        <v>602573184080</v>
      </c>
      <c r="D197" s="19" t="s">
        <v>76</v>
      </c>
      <c r="E197" s="42" t="s">
        <v>5</v>
      </c>
      <c r="F197" s="96">
        <v>43649</v>
      </c>
    </row>
    <row r="198" spans="1:6" hidden="1" x14ac:dyDescent="0.3">
      <c r="A198" s="110">
        <v>572065</v>
      </c>
      <c r="B198" s="10" t="s">
        <v>2393</v>
      </c>
      <c r="C198" s="117">
        <v>602573395080</v>
      </c>
      <c r="D198" s="19" t="s">
        <v>76</v>
      </c>
      <c r="E198" s="42" t="s">
        <v>5</v>
      </c>
      <c r="F198" s="96">
        <v>43649</v>
      </c>
    </row>
    <row r="199" spans="1:6" hidden="1" x14ac:dyDescent="0.3">
      <c r="A199" s="110">
        <v>644344</v>
      </c>
      <c r="B199" s="10" t="s">
        <v>2394</v>
      </c>
      <c r="C199" s="117">
        <v>602573395295</v>
      </c>
      <c r="D199" s="19" t="s">
        <v>76</v>
      </c>
      <c r="E199" s="42" t="s">
        <v>5</v>
      </c>
      <c r="F199" s="96">
        <v>43649</v>
      </c>
    </row>
    <row r="200" spans="1:6" hidden="1" x14ac:dyDescent="0.3">
      <c r="A200" s="110">
        <v>10241</v>
      </c>
      <c r="B200" s="10" t="s">
        <v>2395</v>
      </c>
      <c r="C200" s="122">
        <v>602573829646</v>
      </c>
      <c r="D200" s="19" t="s">
        <v>25</v>
      </c>
      <c r="E200" s="42" t="s">
        <v>2403</v>
      </c>
      <c r="F200" s="96">
        <v>43649</v>
      </c>
    </row>
    <row r="201" spans="1:6" hidden="1" x14ac:dyDescent="0.3">
      <c r="A201" s="110">
        <v>10350</v>
      </c>
      <c r="B201" s="10" t="s">
        <v>2396</v>
      </c>
      <c r="C201" s="122">
        <v>602573829622</v>
      </c>
      <c r="D201" s="19" t="s">
        <v>25</v>
      </c>
      <c r="E201" s="42" t="s">
        <v>2403</v>
      </c>
      <c r="F201" s="96">
        <v>43649</v>
      </c>
    </row>
    <row r="202" spans="1:6" hidden="1" x14ac:dyDescent="0.3">
      <c r="A202" s="110">
        <v>142026</v>
      </c>
      <c r="B202" s="10" t="s">
        <v>2397</v>
      </c>
      <c r="C202" s="122">
        <v>602573395349</v>
      </c>
      <c r="D202" s="19" t="s">
        <v>124</v>
      </c>
      <c r="E202" s="42" t="s">
        <v>2403</v>
      </c>
      <c r="F202" s="96">
        <v>43649</v>
      </c>
    </row>
    <row r="203" spans="1:6" hidden="1" x14ac:dyDescent="0.3">
      <c r="A203" s="110">
        <v>169334</v>
      </c>
      <c r="B203" s="10" t="s">
        <v>2398</v>
      </c>
      <c r="C203" s="122">
        <v>837654777992</v>
      </c>
      <c r="D203" s="19" t="s">
        <v>1013</v>
      </c>
      <c r="E203" s="42" t="s">
        <v>2403</v>
      </c>
      <c r="F203" s="96">
        <v>43649</v>
      </c>
    </row>
    <row r="204" spans="1:6" hidden="1" x14ac:dyDescent="0.3">
      <c r="A204" s="110">
        <v>517797</v>
      </c>
      <c r="B204" s="10" t="s">
        <v>2399</v>
      </c>
      <c r="C204" s="122">
        <v>602573184196</v>
      </c>
      <c r="D204" s="19" t="s">
        <v>555</v>
      </c>
      <c r="E204" s="42" t="s">
        <v>2403</v>
      </c>
      <c r="F204" s="96">
        <v>43649</v>
      </c>
    </row>
    <row r="205" spans="1:6" hidden="1" x14ac:dyDescent="0.3">
      <c r="A205" s="110">
        <v>575365</v>
      </c>
      <c r="B205" s="10" t="s">
        <v>2400</v>
      </c>
      <c r="C205" s="122">
        <v>602573184172</v>
      </c>
      <c r="D205" s="19" t="s">
        <v>25</v>
      </c>
      <c r="E205" s="42" t="s">
        <v>2403</v>
      </c>
      <c r="F205" s="96">
        <v>43649</v>
      </c>
    </row>
    <row r="206" spans="1:6" hidden="1" x14ac:dyDescent="0.3">
      <c r="A206" s="110">
        <v>647859</v>
      </c>
      <c r="B206" s="10" t="s">
        <v>2401</v>
      </c>
      <c r="C206" s="122">
        <v>602573395455</v>
      </c>
      <c r="D206" s="19" t="s">
        <v>98</v>
      </c>
      <c r="E206" s="42" t="s">
        <v>2403</v>
      </c>
      <c r="F206" s="96">
        <v>43649</v>
      </c>
    </row>
    <row r="207" spans="1:6" s="35" customFormat="1" hidden="1" x14ac:dyDescent="0.3">
      <c r="A207" s="110">
        <v>688515</v>
      </c>
      <c r="B207" s="10" t="s">
        <v>2402</v>
      </c>
      <c r="C207" s="122">
        <v>602573395332</v>
      </c>
      <c r="D207" s="19" t="s">
        <v>25</v>
      </c>
      <c r="E207" s="42" t="s">
        <v>2403</v>
      </c>
      <c r="F207" s="96">
        <v>43649</v>
      </c>
    </row>
    <row r="208" spans="1:6" s="35" customFormat="1" hidden="1" x14ac:dyDescent="0.3">
      <c r="A208" s="33">
        <v>697011</v>
      </c>
      <c r="B208" s="106" t="s">
        <v>2391</v>
      </c>
      <c r="C208" s="117">
        <v>812339000763</v>
      </c>
      <c r="D208" s="118" t="s">
        <v>25</v>
      </c>
      <c r="E208" s="42" t="s">
        <v>5</v>
      </c>
      <c r="F208" s="96">
        <v>43649</v>
      </c>
    </row>
    <row r="209" spans="1:6" s="35" customFormat="1" hidden="1" x14ac:dyDescent="0.3">
      <c r="A209" s="33">
        <v>287540</v>
      </c>
      <c r="B209" s="64" t="s">
        <v>2392</v>
      </c>
      <c r="C209" s="117">
        <v>72311320160</v>
      </c>
      <c r="D209" s="118" t="s">
        <v>25</v>
      </c>
      <c r="E209" s="42" t="s">
        <v>5</v>
      </c>
      <c r="F209" s="96">
        <v>43649</v>
      </c>
    </row>
    <row r="210" spans="1:6" s="35" customFormat="1" ht="27.95" hidden="1" x14ac:dyDescent="0.3">
      <c r="A210" s="33">
        <v>470096</v>
      </c>
      <c r="B210" s="106" t="s">
        <v>2386</v>
      </c>
      <c r="C210" s="120" t="s">
        <v>1781</v>
      </c>
      <c r="D210" s="118" t="s">
        <v>202</v>
      </c>
      <c r="E210" s="55" t="s">
        <v>2387</v>
      </c>
      <c r="F210" s="96">
        <v>43641</v>
      </c>
    </row>
    <row r="211" spans="1:6" s="35" customFormat="1" hidden="1" x14ac:dyDescent="0.3">
      <c r="A211" s="33">
        <v>549816</v>
      </c>
      <c r="B211" s="106" t="s">
        <v>2388</v>
      </c>
      <c r="C211" s="120" t="s">
        <v>2389</v>
      </c>
      <c r="D211" s="118" t="s">
        <v>25</v>
      </c>
      <c r="E211" s="42" t="s">
        <v>5</v>
      </c>
      <c r="F211" s="96">
        <v>43641</v>
      </c>
    </row>
    <row r="212" spans="1:6" s="35" customFormat="1" ht="27.95" hidden="1" x14ac:dyDescent="0.3">
      <c r="A212" s="33">
        <v>609875</v>
      </c>
      <c r="B212" s="106" t="s">
        <v>2409</v>
      </c>
      <c r="C212" s="120" t="s">
        <v>1148</v>
      </c>
      <c r="D212" s="118" t="s">
        <v>202</v>
      </c>
      <c r="E212" s="55" t="s">
        <v>2410</v>
      </c>
      <c r="F212" s="96">
        <v>43629</v>
      </c>
    </row>
    <row r="213" spans="1:6" s="35" customFormat="1" hidden="1" x14ac:dyDescent="0.3">
      <c r="A213" s="33">
        <v>668392</v>
      </c>
      <c r="B213" s="106" t="s">
        <v>2385</v>
      </c>
      <c r="C213" s="120" t="s">
        <v>2390</v>
      </c>
      <c r="D213" s="118" t="s">
        <v>76</v>
      </c>
      <c r="E213" s="42" t="s">
        <v>5</v>
      </c>
      <c r="F213" s="96">
        <v>43634</v>
      </c>
    </row>
    <row r="214" spans="1:6" s="35" customFormat="1" hidden="1" x14ac:dyDescent="0.3">
      <c r="A214" s="33">
        <v>361501</v>
      </c>
      <c r="B214" s="106" t="s">
        <v>2381</v>
      </c>
      <c r="C214" s="120" t="s">
        <v>2382</v>
      </c>
      <c r="D214" s="118" t="s">
        <v>202</v>
      </c>
      <c r="E214" s="42" t="s">
        <v>5</v>
      </c>
      <c r="F214" s="96" t="s">
        <v>860</v>
      </c>
    </row>
    <row r="215" spans="1:6" s="35" customFormat="1" hidden="1" x14ac:dyDescent="0.3">
      <c r="A215" s="33">
        <v>628180</v>
      </c>
      <c r="B215" s="106" t="s">
        <v>2383</v>
      </c>
      <c r="C215" s="120" t="s">
        <v>2384</v>
      </c>
      <c r="D215" s="118" t="s">
        <v>202</v>
      </c>
      <c r="E215" s="42" t="s">
        <v>5</v>
      </c>
      <c r="F215" s="96" t="s">
        <v>860</v>
      </c>
    </row>
    <row r="216" spans="1:6" s="35" customFormat="1" hidden="1" x14ac:dyDescent="0.3">
      <c r="A216" s="33">
        <v>230797</v>
      </c>
      <c r="B216" s="106" t="s">
        <v>2372</v>
      </c>
      <c r="C216" s="120" t="s">
        <v>2373</v>
      </c>
      <c r="D216" s="118" t="s">
        <v>202</v>
      </c>
      <c r="E216" s="42" t="s">
        <v>5</v>
      </c>
      <c r="F216" s="96" t="s">
        <v>860</v>
      </c>
    </row>
    <row r="217" spans="1:6" s="35" customFormat="1" hidden="1" x14ac:dyDescent="0.3">
      <c r="A217" s="33">
        <v>487710</v>
      </c>
      <c r="B217" s="106" t="s">
        <v>2374</v>
      </c>
      <c r="C217" s="120" t="s">
        <v>2375</v>
      </c>
      <c r="D217" s="118" t="s">
        <v>202</v>
      </c>
      <c r="E217" s="42" t="s">
        <v>5</v>
      </c>
      <c r="F217" s="96" t="s">
        <v>860</v>
      </c>
    </row>
    <row r="218" spans="1:6" s="35" customFormat="1" hidden="1" x14ac:dyDescent="0.3">
      <c r="A218" s="33">
        <v>434696</v>
      </c>
      <c r="B218" s="106" t="s">
        <v>2376</v>
      </c>
      <c r="C218" s="120" t="s">
        <v>2377</v>
      </c>
      <c r="D218" s="118" t="s">
        <v>202</v>
      </c>
      <c r="E218" s="42" t="s">
        <v>5</v>
      </c>
      <c r="F218" s="96" t="s">
        <v>860</v>
      </c>
    </row>
    <row r="219" spans="1:6" s="35" customFormat="1" hidden="1" x14ac:dyDescent="0.3">
      <c r="A219" s="33">
        <v>142349</v>
      </c>
      <c r="B219" s="106" t="s">
        <v>2378</v>
      </c>
      <c r="C219" s="120" t="s">
        <v>2379</v>
      </c>
      <c r="D219" s="118" t="s">
        <v>25</v>
      </c>
      <c r="E219" s="42" t="s">
        <v>2380</v>
      </c>
      <c r="F219" s="115">
        <v>43622</v>
      </c>
    </row>
    <row r="220" spans="1:6" s="35" customFormat="1" x14ac:dyDescent="0.3">
      <c r="A220" s="33">
        <v>27854</v>
      </c>
      <c r="B220" s="106" t="s">
        <v>2260</v>
      </c>
      <c r="C220" s="107" t="s">
        <v>2370</v>
      </c>
      <c r="D220" s="43" t="s">
        <v>496</v>
      </c>
      <c r="E220" s="42" t="s">
        <v>2371</v>
      </c>
      <c r="F220" s="96">
        <v>43634</v>
      </c>
    </row>
    <row r="221" spans="1:6" s="35" customFormat="1" hidden="1" x14ac:dyDescent="0.3">
      <c r="A221" s="33">
        <v>226514</v>
      </c>
      <c r="B221" s="106" t="s">
        <v>2364</v>
      </c>
      <c r="C221" s="107" t="s">
        <v>2363</v>
      </c>
      <c r="D221" s="43" t="s">
        <v>202</v>
      </c>
      <c r="E221" s="42" t="s">
        <v>377</v>
      </c>
      <c r="F221" s="96">
        <v>43634</v>
      </c>
    </row>
    <row r="222" spans="1:6" s="35" customFormat="1" hidden="1" x14ac:dyDescent="0.3">
      <c r="A222" s="33">
        <v>400549</v>
      </c>
      <c r="B222" s="106" t="s">
        <v>2361</v>
      </c>
      <c r="C222" s="107" t="s">
        <v>2362</v>
      </c>
      <c r="D222" s="43" t="s">
        <v>202</v>
      </c>
      <c r="E222" s="42" t="s">
        <v>377</v>
      </c>
      <c r="F222" s="96" t="s">
        <v>860</v>
      </c>
    </row>
    <row r="223" spans="1:6" s="35" customFormat="1" hidden="1" x14ac:dyDescent="0.3">
      <c r="A223" s="33">
        <v>597781</v>
      </c>
      <c r="B223" s="106" t="s">
        <v>2365</v>
      </c>
      <c r="C223" s="107" t="s">
        <v>2367</v>
      </c>
      <c r="D223" s="43" t="s">
        <v>202</v>
      </c>
      <c r="E223" s="42" t="s">
        <v>377</v>
      </c>
      <c r="F223" s="96" t="s">
        <v>860</v>
      </c>
    </row>
    <row r="224" spans="1:6" s="35" customFormat="1" hidden="1" x14ac:dyDescent="0.3">
      <c r="A224" s="33">
        <v>598649</v>
      </c>
      <c r="B224" s="106" t="s">
        <v>2369</v>
      </c>
      <c r="C224" s="107" t="s">
        <v>2366</v>
      </c>
      <c r="D224" s="43" t="s">
        <v>202</v>
      </c>
      <c r="E224" s="42" t="s">
        <v>377</v>
      </c>
      <c r="F224" s="96" t="s">
        <v>860</v>
      </c>
    </row>
    <row r="225" spans="1:6" s="35" customFormat="1" hidden="1" x14ac:dyDescent="0.3">
      <c r="A225" s="33" t="s">
        <v>2358</v>
      </c>
      <c r="B225" s="106" t="s">
        <v>2368</v>
      </c>
      <c r="C225" s="107" t="s">
        <v>2359</v>
      </c>
      <c r="D225" s="43" t="s">
        <v>25</v>
      </c>
      <c r="E225" s="42" t="s">
        <v>2360</v>
      </c>
      <c r="F225" s="96">
        <v>43627</v>
      </c>
    </row>
    <row r="226" spans="1:6" s="35" customFormat="1" hidden="1" x14ac:dyDescent="0.3">
      <c r="A226" s="33">
        <v>625939</v>
      </c>
      <c r="B226" s="106" t="s">
        <v>2356</v>
      </c>
      <c r="C226" s="107" t="s">
        <v>2357</v>
      </c>
      <c r="D226" s="43" t="s">
        <v>25</v>
      </c>
      <c r="E226" s="42" t="s">
        <v>377</v>
      </c>
      <c r="F226" s="96">
        <v>43627</v>
      </c>
    </row>
    <row r="227" spans="1:6" s="35" customFormat="1" hidden="1" x14ac:dyDescent="0.3">
      <c r="A227" s="33">
        <v>449207</v>
      </c>
      <c r="B227" s="106" t="s">
        <v>2347</v>
      </c>
      <c r="C227" s="107" t="s">
        <v>2348</v>
      </c>
      <c r="D227" s="43" t="s">
        <v>202</v>
      </c>
      <c r="E227" s="42" t="s">
        <v>377</v>
      </c>
      <c r="F227" s="96" t="s">
        <v>860</v>
      </c>
    </row>
    <row r="228" spans="1:6" s="35" customFormat="1" hidden="1" x14ac:dyDescent="0.3">
      <c r="A228" s="33">
        <v>373373</v>
      </c>
      <c r="B228" s="106" t="s">
        <v>2349</v>
      </c>
      <c r="C228" s="107" t="s">
        <v>2350</v>
      </c>
      <c r="D228" s="43" t="s">
        <v>202</v>
      </c>
      <c r="E228" s="42" t="s">
        <v>377</v>
      </c>
      <c r="F228" s="96" t="s">
        <v>860</v>
      </c>
    </row>
    <row r="229" spans="1:6" s="35" customFormat="1" hidden="1" x14ac:dyDescent="0.3">
      <c r="A229" s="33">
        <v>367698</v>
      </c>
      <c r="B229" s="106" t="s">
        <v>2351</v>
      </c>
      <c r="C229" s="107" t="s">
        <v>2352</v>
      </c>
      <c r="D229" s="43" t="s">
        <v>202</v>
      </c>
      <c r="E229" s="42" t="s">
        <v>377</v>
      </c>
      <c r="F229" s="96" t="s">
        <v>860</v>
      </c>
    </row>
    <row r="230" spans="1:6" s="35" customFormat="1" hidden="1" x14ac:dyDescent="0.3">
      <c r="A230" s="33">
        <v>97113</v>
      </c>
      <c r="B230" s="106" t="s">
        <v>2343</v>
      </c>
      <c r="C230" s="107" t="s">
        <v>2345</v>
      </c>
      <c r="D230" s="43" t="s">
        <v>202</v>
      </c>
      <c r="E230" s="42" t="s">
        <v>1501</v>
      </c>
      <c r="F230" s="96" t="s">
        <v>860</v>
      </c>
    </row>
    <row r="231" spans="1:6" s="35" customFormat="1" hidden="1" x14ac:dyDescent="0.3">
      <c r="A231" s="33">
        <v>97121</v>
      </c>
      <c r="B231" s="106" t="s">
        <v>2342</v>
      </c>
      <c r="C231" s="107" t="s">
        <v>2344</v>
      </c>
      <c r="D231" s="43" t="s">
        <v>202</v>
      </c>
      <c r="E231" s="42" t="s">
        <v>1501</v>
      </c>
      <c r="F231" s="96" t="s">
        <v>860</v>
      </c>
    </row>
    <row r="232" spans="1:6" s="35" customFormat="1" hidden="1" x14ac:dyDescent="0.3">
      <c r="A232" s="33">
        <v>422873</v>
      </c>
      <c r="B232" s="106" t="s">
        <v>2346</v>
      </c>
      <c r="C232" s="107" t="s">
        <v>2355</v>
      </c>
      <c r="D232" s="43" t="s">
        <v>25</v>
      </c>
      <c r="E232" s="42" t="s">
        <v>5</v>
      </c>
      <c r="F232" s="96" t="s">
        <v>860</v>
      </c>
    </row>
    <row r="233" spans="1:6" s="35" customFormat="1" ht="27.95" hidden="1" x14ac:dyDescent="0.3">
      <c r="A233" s="33">
        <v>560243</v>
      </c>
      <c r="B233" s="106" t="s">
        <v>2411</v>
      </c>
      <c r="C233" s="107" t="s">
        <v>1147</v>
      </c>
      <c r="D233" s="43" t="s">
        <v>202</v>
      </c>
      <c r="E233" s="55" t="s">
        <v>2412</v>
      </c>
      <c r="F233" s="96">
        <v>43621</v>
      </c>
    </row>
    <row r="234" spans="1:6" s="35" customFormat="1" hidden="1" x14ac:dyDescent="0.3">
      <c r="A234" s="33">
        <v>544809</v>
      </c>
      <c r="B234" s="106" t="s">
        <v>2354</v>
      </c>
      <c r="C234" s="107" t="s">
        <v>1524</v>
      </c>
      <c r="D234" s="43" t="s">
        <v>25</v>
      </c>
      <c r="E234" s="42" t="s">
        <v>377</v>
      </c>
      <c r="F234" s="96">
        <v>43613</v>
      </c>
    </row>
    <row r="235" spans="1:6" s="35" customFormat="1" x14ac:dyDescent="0.3">
      <c r="A235" s="33">
        <v>297655</v>
      </c>
      <c r="B235" s="106" t="s">
        <v>1762</v>
      </c>
      <c r="C235" s="107" t="s">
        <v>2336</v>
      </c>
      <c r="D235" s="43" t="s">
        <v>137</v>
      </c>
      <c r="E235" s="42" t="s">
        <v>2337</v>
      </c>
      <c r="F235" s="96">
        <v>43613</v>
      </c>
    </row>
    <row r="236" spans="1:6" s="35" customFormat="1" hidden="1" x14ac:dyDescent="0.3">
      <c r="A236" s="33">
        <v>571208</v>
      </c>
      <c r="B236" s="106" t="s">
        <v>2145</v>
      </c>
      <c r="C236" s="107" t="s">
        <v>2148</v>
      </c>
      <c r="D236" s="43" t="s">
        <v>25</v>
      </c>
      <c r="E236" s="42" t="s">
        <v>2334</v>
      </c>
      <c r="F236" s="96">
        <v>43613</v>
      </c>
    </row>
    <row r="237" spans="1:6" s="35" customFormat="1" hidden="1" x14ac:dyDescent="0.3">
      <c r="A237" s="33">
        <v>628164</v>
      </c>
      <c r="B237" s="106" t="s">
        <v>2340</v>
      </c>
      <c r="C237" s="107" t="s">
        <v>2341</v>
      </c>
      <c r="D237" s="43" t="s">
        <v>202</v>
      </c>
      <c r="E237" s="42" t="s">
        <v>5</v>
      </c>
      <c r="F237" s="96" t="s">
        <v>860</v>
      </c>
    </row>
    <row r="238" spans="1:6" s="35" customFormat="1" hidden="1" x14ac:dyDescent="0.3">
      <c r="A238" s="33">
        <v>508739</v>
      </c>
      <c r="B238" s="106" t="s">
        <v>2338</v>
      </c>
      <c r="C238" s="107" t="s">
        <v>1812</v>
      </c>
      <c r="D238" s="43" t="s">
        <v>25</v>
      </c>
      <c r="E238" s="42" t="s">
        <v>5</v>
      </c>
      <c r="F238" s="96">
        <v>43613</v>
      </c>
    </row>
    <row r="239" spans="1:6" s="35" customFormat="1" hidden="1" x14ac:dyDescent="0.3">
      <c r="A239" s="33">
        <v>668384</v>
      </c>
      <c r="B239" s="106" t="s">
        <v>2339</v>
      </c>
      <c r="C239" s="107" t="s">
        <v>2353</v>
      </c>
      <c r="D239" s="43" t="s">
        <v>25</v>
      </c>
      <c r="E239" s="42" t="s">
        <v>5</v>
      </c>
      <c r="F239" s="96">
        <v>43613</v>
      </c>
    </row>
    <row r="240" spans="1:6" s="35" customFormat="1" hidden="1" x14ac:dyDescent="0.3">
      <c r="A240" s="33">
        <v>437129</v>
      </c>
      <c r="B240" s="106" t="s">
        <v>2333</v>
      </c>
      <c r="C240" s="107" t="s">
        <v>2335</v>
      </c>
      <c r="D240" s="43" t="s">
        <v>25</v>
      </c>
      <c r="E240" s="42" t="s">
        <v>5</v>
      </c>
      <c r="F240" s="96">
        <v>43607</v>
      </c>
    </row>
    <row r="241" spans="1:6" s="35" customFormat="1" hidden="1" x14ac:dyDescent="0.3">
      <c r="A241" s="33">
        <v>523720</v>
      </c>
      <c r="B241" s="106" t="s">
        <v>2331</v>
      </c>
      <c r="C241" s="107" t="s">
        <v>1811</v>
      </c>
      <c r="D241" s="43" t="s">
        <v>25</v>
      </c>
      <c r="E241" s="42" t="s">
        <v>2332</v>
      </c>
      <c r="F241" s="96">
        <v>43607</v>
      </c>
    </row>
    <row r="242" spans="1:6" s="35" customFormat="1" hidden="1" x14ac:dyDescent="0.3">
      <c r="A242" s="33">
        <v>449249</v>
      </c>
      <c r="B242" s="106" t="s">
        <v>2329</v>
      </c>
      <c r="C242" s="107" t="s">
        <v>2330</v>
      </c>
      <c r="D242" s="43" t="s">
        <v>25</v>
      </c>
      <c r="E242" s="42" t="s">
        <v>5</v>
      </c>
      <c r="F242" s="96" t="s">
        <v>860</v>
      </c>
    </row>
    <row r="243" spans="1:6" s="35" customFormat="1" hidden="1" x14ac:dyDescent="0.3">
      <c r="A243" s="33">
        <v>407668</v>
      </c>
      <c r="B243" s="106" t="s">
        <v>168</v>
      </c>
      <c r="C243" s="107" t="s">
        <v>2320</v>
      </c>
      <c r="D243" s="43" t="s">
        <v>25</v>
      </c>
      <c r="E243" s="106" t="s">
        <v>2322</v>
      </c>
      <c r="F243" s="96" t="s">
        <v>860</v>
      </c>
    </row>
    <row r="244" spans="1:6" s="35" customFormat="1" hidden="1" x14ac:dyDescent="0.3">
      <c r="A244" s="33">
        <v>634840</v>
      </c>
      <c r="B244" s="106" t="s">
        <v>2319</v>
      </c>
      <c r="C244" s="107" t="s">
        <v>2321</v>
      </c>
      <c r="D244" s="43" t="s">
        <v>25</v>
      </c>
      <c r="E244" s="106" t="s">
        <v>2323</v>
      </c>
      <c r="F244" s="96" t="s">
        <v>860</v>
      </c>
    </row>
    <row r="245" spans="1:6" s="35" customFormat="1" hidden="1" x14ac:dyDescent="0.3">
      <c r="A245" s="33">
        <v>157362</v>
      </c>
      <c r="B245" s="106" t="s">
        <v>2317</v>
      </c>
      <c r="C245" s="107" t="s">
        <v>2318</v>
      </c>
      <c r="D245" s="43" t="s">
        <v>555</v>
      </c>
      <c r="E245" s="42" t="s">
        <v>5</v>
      </c>
      <c r="F245" s="96">
        <v>43599</v>
      </c>
    </row>
    <row r="246" spans="1:6" s="35" customFormat="1" hidden="1" x14ac:dyDescent="0.3">
      <c r="A246" s="33">
        <v>548669</v>
      </c>
      <c r="B246" s="106" t="s">
        <v>2315</v>
      </c>
      <c r="C246" s="107" t="s">
        <v>2316</v>
      </c>
      <c r="D246" s="43" t="s">
        <v>48</v>
      </c>
      <c r="E246" s="42" t="s">
        <v>5</v>
      </c>
      <c r="F246" s="96">
        <v>43592</v>
      </c>
    </row>
    <row r="247" spans="1:6" s="35" customFormat="1" hidden="1" x14ac:dyDescent="0.3">
      <c r="A247" s="33">
        <v>657239</v>
      </c>
      <c r="B247" s="106" t="s">
        <v>2312</v>
      </c>
      <c r="C247" s="107" t="s">
        <v>2313</v>
      </c>
      <c r="D247" s="43" t="s">
        <v>25</v>
      </c>
      <c r="E247" s="42" t="s">
        <v>5</v>
      </c>
      <c r="F247" s="96">
        <v>43592</v>
      </c>
    </row>
    <row r="248" spans="1:6" s="35" customFormat="1" hidden="1" x14ac:dyDescent="0.3">
      <c r="A248" s="33">
        <v>557496</v>
      </c>
      <c r="B248" s="106" t="s">
        <v>2324</v>
      </c>
      <c r="C248" s="107" t="s">
        <v>2327</v>
      </c>
      <c r="D248" s="43" t="s">
        <v>202</v>
      </c>
      <c r="E248" s="42" t="s">
        <v>5</v>
      </c>
      <c r="F248" s="96">
        <v>43586</v>
      </c>
    </row>
    <row r="249" spans="1:6" s="35" customFormat="1" hidden="1" x14ac:dyDescent="0.3">
      <c r="A249" s="33">
        <v>242370</v>
      </c>
      <c r="B249" s="106" t="s">
        <v>2325</v>
      </c>
      <c r="C249" s="107" t="s">
        <v>2328</v>
      </c>
      <c r="D249" s="43" t="s">
        <v>202</v>
      </c>
      <c r="E249" s="42" t="s">
        <v>5</v>
      </c>
      <c r="F249" s="96">
        <v>43586</v>
      </c>
    </row>
    <row r="250" spans="1:6" s="35" customFormat="1" hidden="1" x14ac:dyDescent="0.3">
      <c r="A250" s="33">
        <v>441527</v>
      </c>
      <c r="B250" s="106" t="s">
        <v>2326</v>
      </c>
      <c r="C250" s="100">
        <v>56049133469</v>
      </c>
      <c r="D250" s="43" t="s">
        <v>202</v>
      </c>
      <c r="E250" s="42" t="s">
        <v>5</v>
      </c>
      <c r="F250" s="96">
        <v>43586</v>
      </c>
    </row>
    <row r="251" spans="1:6" s="35" customFormat="1" hidden="1" x14ac:dyDescent="0.3">
      <c r="A251" s="33">
        <v>329144</v>
      </c>
      <c r="B251" s="106" t="s">
        <v>2311</v>
      </c>
      <c r="C251" s="107" t="s">
        <v>2314</v>
      </c>
      <c r="D251" s="43" t="s">
        <v>76</v>
      </c>
      <c r="E251" s="42" t="s">
        <v>5</v>
      </c>
      <c r="F251" s="96">
        <v>43585</v>
      </c>
    </row>
    <row r="252" spans="1:6" s="35" customFormat="1" hidden="1" x14ac:dyDescent="0.3">
      <c r="A252" s="33">
        <v>414953</v>
      </c>
      <c r="B252" s="106" t="s">
        <v>1478</v>
      </c>
      <c r="C252" s="107" t="s">
        <v>1487</v>
      </c>
      <c r="D252" s="43" t="s">
        <v>25</v>
      </c>
      <c r="E252" s="42" t="s">
        <v>5</v>
      </c>
      <c r="F252" s="96">
        <v>43585</v>
      </c>
    </row>
    <row r="253" spans="1:6" s="35" customFormat="1" hidden="1" x14ac:dyDescent="0.3">
      <c r="A253" s="33">
        <v>570382</v>
      </c>
      <c r="B253" s="106" t="s">
        <v>2306</v>
      </c>
      <c r="C253" s="107" t="s">
        <v>2307</v>
      </c>
      <c r="D253" s="43" t="s">
        <v>25</v>
      </c>
      <c r="E253" s="42" t="s">
        <v>5</v>
      </c>
      <c r="F253" s="96">
        <v>43585</v>
      </c>
    </row>
    <row r="254" spans="1:6" s="35" customFormat="1" hidden="1" x14ac:dyDescent="0.3">
      <c r="A254" s="33">
        <v>624916</v>
      </c>
      <c r="B254" s="106" t="s">
        <v>2301</v>
      </c>
      <c r="C254" s="107" t="s">
        <v>2304</v>
      </c>
      <c r="D254" s="43" t="s">
        <v>25</v>
      </c>
      <c r="E254" s="42" t="s">
        <v>5</v>
      </c>
      <c r="F254" s="96">
        <v>43585</v>
      </c>
    </row>
    <row r="255" spans="1:6" s="35" customFormat="1" hidden="1" x14ac:dyDescent="0.3">
      <c r="A255" s="33">
        <v>465609</v>
      </c>
      <c r="B255" s="106" t="s">
        <v>2303</v>
      </c>
      <c r="C255" s="107" t="s">
        <v>2302</v>
      </c>
      <c r="D255" s="43" t="s">
        <v>25</v>
      </c>
      <c r="E255" s="42" t="s">
        <v>5</v>
      </c>
      <c r="F255" s="96">
        <v>43585</v>
      </c>
    </row>
    <row r="256" spans="1:6" s="35" customFormat="1" ht="27.95" hidden="1" x14ac:dyDescent="0.3">
      <c r="A256" s="33">
        <v>89037</v>
      </c>
      <c r="B256" s="106" t="s">
        <v>2297</v>
      </c>
      <c r="C256" s="107" t="s">
        <v>2298</v>
      </c>
      <c r="D256" s="43" t="s">
        <v>202</v>
      </c>
      <c r="E256" s="114" t="s">
        <v>2299</v>
      </c>
      <c r="F256" s="96">
        <v>43585</v>
      </c>
    </row>
    <row r="257" spans="1:6" s="35" customFormat="1" hidden="1" x14ac:dyDescent="0.3">
      <c r="A257" s="100">
        <v>438705</v>
      </c>
      <c r="B257" s="106" t="s">
        <v>2308</v>
      </c>
      <c r="C257" s="107" t="s">
        <v>2310</v>
      </c>
      <c r="D257" s="43" t="s">
        <v>25</v>
      </c>
      <c r="E257" s="42" t="s">
        <v>2309</v>
      </c>
      <c r="F257" s="96" t="s">
        <v>860</v>
      </c>
    </row>
    <row r="258" spans="1:6" s="35" customFormat="1" hidden="1" x14ac:dyDescent="0.3">
      <c r="A258" s="33">
        <v>484972</v>
      </c>
      <c r="B258" s="106" t="s">
        <v>2300</v>
      </c>
      <c r="C258" s="107" t="s">
        <v>2305</v>
      </c>
      <c r="D258" s="43" t="s">
        <v>25</v>
      </c>
      <c r="E258" s="42" t="s">
        <v>5</v>
      </c>
      <c r="F258" s="96" t="s">
        <v>860</v>
      </c>
    </row>
    <row r="259" spans="1:6" s="35" customFormat="1" hidden="1" x14ac:dyDescent="0.3">
      <c r="A259" s="33">
        <v>561431</v>
      </c>
      <c r="B259" s="106" t="s">
        <v>2293</v>
      </c>
      <c r="C259" s="107" t="s">
        <v>2295</v>
      </c>
      <c r="D259" s="43" t="s">
        <v>48</v>
      </c>
      <c r="E259" s="42" t="s">
        <v>5</v>
      </c>
      <c r="F259" s="96">
        <v>43579</v>
      </c>
    </row>
    <row r="260" spans="1:6" s="35" customFormat="1" hidden="1" x14ac:dyDescent="0.3">
      <c r="A260" s="33">
        <v>574525</v>
      </c>
      <c r="B260" s="106" t="s">
        <v>2294</v>
      </c>
      <c r="C260" s="107" t="s">
        <v>2296</v>
      </c>
      <c r="D260" s="43" t="s">
        <v>25</v>
      </c>
      <c r="E260" s="42" t="s">
        <v>5</v>
      </c>
      <c r="F260" s="96">
        <v>43579</v>
      </c>
    </row>
    <row r="261" spans="1:6" s="35" customFormat="1" hidden="1" x14ac:dyDescent="0.3">
      <c r="A261" s="33">
        <v>518746</v>
      </c>
      <c r="B261" s="106" t="s">
        <v>2291</v>
      </c>
      <c r="C261" s="107" t="s">
        <v>2292</v>
      </c>
      <c r="D261" s="43" t="s">
        <v>202</v>
      </c>
      <c r="E261" s="21" t="s">
        <v>2290</v>
      </c>
      <c r="F261" s="96">
        <v>43565</v>
      </c>
    </row>
    <row r="262" spans="1:6" s="35" customFormat="1" hidden="1" x14ac:dyDescent="0.3">
      <c r="A262" s="33">
        <v>73809</v>
      </c>
      <c r="B262" s="106" t="s">
        <v>2287</v>
      </c>
      <c r="C262" s="107" t="s">
        <v>2288</v>
      </c>
      <c r="D262" s="43" t="s">
        <v>48</v>
      </c>
      <c r="E262" s="21" t="s">
        <v>2289</v>
      </c>
      <c r="F262" s="96">
        <v>43565</v>
      </c>
    </row>
    <row r="263" spans="1:6" s="35" customFormat="1" hidden="1" x14ac:dyDescent="0.3">
      <c r="A263" s="33">
        <v>545814</v>
      </c>
      <c r="B263" s="106" t="s">
        <v>2285</v>
      </c>
      <c r="C263" s="107" t="s">
        <v>2286</v>
      </c>
      <c r="D263" s="43" t="s">
        <v>202</v>
      </c>
      <c r="E263" s="42" t="s">
        <v>5</v>
      </c>
      <c r="F263" s="96">
        <v>43571</v>
      </c>
    </row>
    <row r="264" spans="1:6" s="35" customFormat="1" ht="27.95" hidden="1" x14ac:dyDescent="0.3">
      <c r="A264" s="100">
        <v>370361</v>
      </c>
      <c r="B264" s="106" t="s">
        <v>2282</v>
      </c>
      <c r="C264" s="107" t="s">
        <v>2283</v>
      </c>
      <c r="D264" s="43" t="s">
        <v>202</v>
      </c>
      <c r="E264" s="114" t="s">
        <v>2284</v>
      </c>
      <c r="F264" s="96" t="s">
        <v>860</v>
      </c>
    </row>
    <row r="265" spans="1:6" s="35" customFormat="1" hidden="1" x14ac:dyDescent="0.3">
      <c r="A265" s="100">
        <v>648956</v>
      </c>
      <c r="B265" s="106" t="s">
        <v>2278</v>
      </c>
      <c r="C265" s="107" t="s">
        <v>2281</v>
      </c>
      <c r="D265" s="43" t="s">
        <v>25</v>
      </c>
      <c r="E265" s="42" t="s">
        <v>5</v>
      </c>
      <c r="F265" s="96" t="s">
        <v>860</v>
      </c>
    </row>
    <row r="266" spans="1:6" s="35" customFormat="1" hidden="1" x14ac:dyDescent="0.3">
      <c r="A266" s="100">
        <v>528893</v>
      </c>
      <c r="B266" s="106" t="s">
        <v>2279</v>
      </c>
      <c r="C266" s="107" t="s">
        <v>2280</v>
      </c>
      <c r="D266" s="43" t="s">
        <v>124</v>
      </c>
      <c r="E266" s="42" t="s">
        <v>5</v>
      </c>
      <c r="F266" s="96">
        <v>43571</v>
      </c>
    </row>
    <row r="267" spans="1:6" s="35" customFormat="1" hidden="1" x14ac:dyDescent="0.3">
      <c r="A267" s="100">
        <v>540765</v>
      </c>
      <c r="B267" s="106" t="s">
        <v>2276</v>
      </c>
      <c r="C267" s="107" t="s">
        <v>2277</v>
      </c>
      <c r="D267" s="43" t="s">
        <v>76</v>
      </c>
      <c r="E267" s="42" t="s">
        <v>5</v>
      </c>
      <c r="F267" s="96">
        <v>43571</v>
      </c>
    </row>
    <row r="268" spans="1:6" s="35" customFormat="1" hidden="1" x14ac:dyDescent="0.3">
      <c r="A268" s="100">
        <v>590208</v>
      </c>
      <c r="B268" s="106" t="s">
        <v>2273</v>
      </c>
      <c r="C268" s="107" t="s">
        <v>2274</v>
      </c>
      <c r="D268" s="43" t="s">
        <v>98</v>
      </c>
      <c r="E268" s="42" t="s">
        <v>5</v>
      </c>
      <c r="F268" s="96" t="s">
        <v>860</v>
      </c>
    </row>
    <row r="269" spans="1:6" s="35" customFormat="1" hidden="1" x14ac:dyDescent="0.3">
      <c r="A269" s="100">
        <v>551390</v>
      </c>
      <c r="B269" s="106" t="s">
        <v>2272</v>
      </c>
      <c r="C269" s="107" t="s">
        <v>2275</v>
      </c>
      <c r="D269" s="43" t="s">
        <v>25</v>
      </c>
      <c r="E269" s="42" t="s">
        <v>5</v>
      </c>
      <c r="F269" s="96">
        <v>43571</v>
      </c>
    </row>
    <row r="270" spans="1:6" s="35" customFormat="1" x14ac:dyDescent="0.3">
      <c r="A270" s="100">
        <v>564674</v>
      </c>
      <c r="B270" s="106" t="s">
        <v>2257</v>
      </c>
      <c r="C270" s="107" t="s">
        <v>2258</v>
      </c>
      <c r="D270" s="43" t="s">
        <v>202</v>
      </c>
      <c r="E270" s="106" t="s">
        <v>2259</v>
      </c>
      <c r="F270" s="96">
        <v>43571</v>
      </c>
    </row>
    <row r="271" spans="1:6" s="35" customFormat="1" x14ac:dyDescent="0.3">
      <c r="A271" s="33">
        <v>533026</v>
      </c>
      <c r="B271" s="106" t="s">
        <v>2260</v>
      </c>
      <c r="C271" s="107" t="s">
        <v>2261</v>
      </c>
      <c r="D271" s="43" t="s">
        <v>202</v>
      </c>
      <c r="E271" s="106" t="s">
        <v>2262</v>
      </c>
      <c r="F271" s="96">
        <v>43571</v>
      </c>
    </row>
    <row r="272" spans="1:6" s="35" customFormat="1" hidden="1" x14ac:dyDescent="0.3">
      <c r="A272" s="33">
        <v>460873</v>
      </c>
      <c r="B272" s="106" t="s">
        <v>2263</v>
      </c>
      <c r="C272" s="107" t="s">
        <v>2264</v>
      </c>
      <c r="D272" s="43" t="s">
        <v>202</v>
      </c>
      <c r="E272" s="106" t="s">
        <v>2265</v>
      </c>
      <c r="F272" s="96">
        <v>43571</v>
      </c>
    </row>
    <row r="273" spans="1:6" s="35" customFormat="1" hidden="1" x14ac:dyDescent="0.3">
      <c r="A273" s="33">
        <v>295105</v>
      </c>
      <c r="B273" s="106" t="s">
        <v>2266</v>
      </c>
      <c r="C273" s="107" t="s">
        <v>2267</v>
      </c>
      <c r="D273" s="43" t="s">
        <v>202</v>
      </c>
      <c r="E273" s="106" t="s">
        <v>2268</v>
      </c>
      <c r="F273" s="96">
        <v>43571</v>
      </c>
    </row>
    <row r="274" spans="1:6" s="35" customFormat="1" hidden="1" x14ac:dyDescent="0.3">
      <c r="A274" s="33">
        <v>295139</v>
      </c>
      <c r="B274" s="106" t="s">
        <v>2269</v>
      </c>
      <c r="C274" s="107" t="s">
        <v>2270</v>
      </c>
      <c r="D274" s="43" t="s">
        <v>202</v>
      </c>
      <c r="E274" s="106" t="s">
        <v>2271</v>
      </c>
      <c r="F274" s="96">
        <v>43571</v>
      </c>
    </row>
    <row r="275" spans="1:6" s="35" customFormat="1" hidden="1" x14ac:dyDescent="0.3">
      <c r="A275" s="33">
        <v>305151</v>
      </c>
      <c r="B275" s="106" t="s">
        <v>2255</v>
      </c>
      <c r="C275" s="107" t="s">
        <v>2256</v>
      </c>
      <c r="D275" s="43" t="s">
        <v>202</v>
      </c>
      <c r="E275" s="42" t="s">
        <v>5</v>
      </c>
      <c r="F275" s="108" t="s">
        <v>860</v>
      </c>
    </row>
    <row r="276" spans="1:6" s="35" customFormat="1" hidden="1" x14ac:dyDescent="0.3">
      <c r="A276" s="33">
        <v>441493</v>
      </c>
      <c r="B276" s="106" t="s">
        <v>2253</v>
      </c>
      <c r="C276" s="109" t="s">
        <v>2254</v>
      </c>
      <c r="D276" s="43" t="s">
        <v>202</v>
      </c>
      <c r="E276" s="42" t="s">
        <v>5</v>
      </c>
      <c r="F276" s="96">
        <v>43564</v>
      </c>
    </row>
    <row r="277" spans="1:6" s="35" customFormat="1" hidden="1" x14ac:dyDescent="0.3">
      <c r="A277" s="33">
        <v>479188</v>
      </c>
      <c r="B277" s="106" t="s">
        <v>2248</v>
      </c>
      <c r="C277" s="107" t="s">
        <v>2252</v>
      </c>
      <c r="D277" s="43" t="s">
        <v>294</v>
      </c>
      <c r="E277" s="42" t="s">
        <v>5</v>
      </c>
      <c r="F277" s="96" t="s">
        <v>860</v>
      </c>
    </row>
    <row r="278" spans="1:6" s="35" customFormat="1" hidden="1" x14ac:dyDescent="0.3">
      <c r="A278" s="33">
        <v>459115</v>
      </c>
      <c r="B278" s="106" t="s">
        <v>2246</v>
      </c>
      <c r="C278" s="107" t="s">
        <v>2247</v>
      </c>
      <c r="D278" s="43" t="s">
        <v>25</v>
      </c>
      <c r="E278" s="42" t="s">
        <v>2245</v>
      </c>
      <c r="F278" s="96" t="s">
        <v>860</v>
      </c>
    </row>
    <row r="279" spans="1:6" s="35" customFormat="1" hidden="1" x14ac:dyDescent="0.3">
      <c r="A279" s="33">
        <v>287268</v>
      </c>
      <c r="B279" s="106" t="s">
        <v>2244</v>
      </c>
      <c r="C279" s="107" t="s">
        <v>2249</v>
      </c>
      <c r="D279" s="43" t="s">
        <v>202</v>
      </c>
      <c r="E279" s="42" t="s">
        <v>377</v>
      </c>
      <c r="F279" s="96" t="s">
        <v>860</v>
      </c>
    </row>
    <row r="280" spans="1:6" s="35" customFormat="1" hidden="1" x14ac:dyDescent="0.3">
      <c r="A280" s="33">
        <v>515155</v>
      </c>
      <c r="B280" s="106" t="s">
        <v>2242</v>
      </c>
      <c r="C280" s="107" t="s">
        <v>2250</v>
      </c>
      <c r="D280" s="43" t="s">
        <v>25</v>
      </c>
      <c r="E280" s="42" t="s">
        <v>5</v>
      </c>
      <c r="F280" s="96">
        <v>43557</v>
      </c>
    </row>
    <row r="281" spans="1:6" s="35" customFormat="1" x14ac:dyDescent="0.3">
      <c r="A281" s="33">
        <v>620773</v>
      </c>
      <c r="B281" s="106" t="s">
        <v>2239</v>
      </c>
      <c r="C281" s="107" t="s">
        <v>2241</v>
      </c>
      <c r="D281" s="43" t="s">
        <v>202</v>
      </c>
      <c r="E281" s="106" t="s">
        <v>2240</v>
      </c>
      <c r="F281" s="96">
        <v>43557</v>
      </c>
    </row>
    <row r="282" spans="1:6" s="35" customFormat="1" hidden="1" x14ac:dyDescent="0.3">
      <c r="A282" s="33">
        <v>498626</v>
      </c>
      <c r="B282" s="106" t="s">
        <v>2251</v>
      </c>
      <c r="C282" s="107" t="s">
        <v>2243</v>
      </c>
      <c r="D282" s="43" t="s">
        <v>98</v>
      </c>
      <c r="E282" s="42" t="s">
        <v>5</v>
      </c>
      <c r="F282" s="96">
        <v>43550</v>
      </c>
    </row>
    <row r="283" spans="1:6" s="35" customFormat="1" hidden="1" x14ac:dyDescent="0.3">
      <c r="A283" s="33">
        <v>424168</v>
      </c>
      <c r="B283" s="106" t="s">
        <v>2228</v>
      </c>
      <c r="C283" s="107" t="s">
        <v>2229</v>
      </c>
      <c r="D283" s="43" t="s">
        <v>202</v>
      </c>
      <c r="E283" s="42" t="s">
        <v>1343</v>
      </c>
      <c r="F283" s="108" t="s">
        <v>860</v>
      </c>
    </row>
    <row r="284" spans="1:6" s="35" customFormat="1" hidden="1" x14ac:dyDescent="0.3">
      <c r="A284" s="33">
        <v>698472</v>
      </c>
      <c r="B284" s="106" t="s">
        <v>2238</v>
      </c>
      <c r="C284" s="107" t="s">
        <v>2237</v>
      </c>
      <c r="D284" s="43" t="s">
        <v>25</v>
      </c>
      <c r="E284" s="106" t="s">
        <v>2236</v>
      </c>
      <c r="F284" s="108" t="s">
        <v>860</v>
      </c>
    </row>
    <row r="285" spans="1:6" s="35" customFormat="1" hidden="1" x14ac:dyDescent="0.3">
      <c r="A285" s="33">
        <v>632794</v>
      </c>
      <c r="B285" s="106" t="s">
        <v>2232</v>
      </c>
      <c r="C285" s="107" t="s">
        <v>2233</v>
      </c>
      <c r="D285" s="43" t="s">
        <v>2231</v>
      </c>
      <c r="E285" s="42" t="s">
        <v>2235</v>
      </c>
      <c r="F285" s="108" t="s">
        <v>860</v>
      </c>
    </row>
    <row r="286" spans="1:6" s="35" customFormat="1" hidden="1" x14ac:dyDescent="0.3">
      <c r="A286" s="33">
        <v>546523</v>
      </c>
      <c r="B286" s="106" t="s">
        <v>2227</v>
      </c>
      <c r="C286" s="107" t="s">
        <v>2230</v>
      </c>
      <c r="D286" s="43" t="s">
        <v>25</v>
      </c>
      <c r="E286" s="42" t="s">
        <v>5</v>
      </c>
      <c r="F286" s="96">
        <v>43543</v>
      </c>
    </row>
    <row r="287" spans="1:6" s="35" customFormat="1" hidden="1" x14ac:dyDescent="0.3">
      <c r="A287" s="33">
        <v>499335</v>
      </c>
      <c r="B287" s="106" t="s">
        <v>2225</v>
      </c>
      <c r="C287" s="107" t="s">
        <v>2226</v>
      </c>
      <c r="D287" s="43" t="s">
        <v>25</v>
      </c>
      <c r="E287" s="42" t="s">
        <v>5</v>
      </c>
      <c r="F287" s="96">
        <v>43536</v>
      </c>
    </row>
    <row r="288" spans="1:6" s="35" customFormat="1" hidden="1" x14ac:dyDescent="0.3">
      <c r="A288" s="33">
        <v>464206</v>
      </c>
      <c r="B288" s="106" t="s">
        <v>2215</v>
      </c>
      <c r="C288" s="107" t="s">
        <v>2217</v>
      </c>
      <c r="D288" s="43" t="s">
        <v>2213</v>
      </c>
      <c r="E288" s="42" t="s">
        <v>2214</v>
      </c>
      <c r="F288" s="96" t="s">
        <v>860</v>
      </c>
    </row>
    <row r="289" spans="1:6" s="35" customFormat="1" hidden="1" x14ac:dyDescent="0.3">
      <c r="A289" s="33">
        <v>508556</v>
      </c>
      <c r="B289" s="106" t="s">
        <v>2216</v>
      </c>
      <c r="C289" s="107" t="s">
        <v>2218</v>
      </c>
      <c r="D289" s="43" t="s">
        <v>2213</v>
      </c>
      <c r="E289" s="42" t="s">
        <v>2214</v>
      </c>
      <c r="F289" s="96" t="s">
        <v>860</v>
      </c>
    </row>
    <row r="290" spans="1:6" s="35" customFormat="1" hidden="1" x14ac:dyDescent="0.3">
      <c r="A290" s="33">
        <v>576827</v>
      </c>
      <c r="B290" s="106" t="s">
        <v>2209</v>
      </c>
      <c r="C290" s="107" t="s">
        <v>2219</v>
      </c>
      <c r="D290" s="43" t="s">
        <v>25</v>
      </c>
      <c r="E290" s="42" t="s">
        <v>5</v>
      </c>
      <c r="F290" s="96">
        <v>43536</v>
      </c>
    </row>
    <row r="291" spans="1:6" s="35" customFormat="1" hidden="1" x14ac:dyDescent="0.3">
      <c r="A291" s="33">
        <v>542993</v>
      </c>
      <c r="B291" s="106" t="s">
        <v>2212</v>
      </c>
      <c r="C291" s="107" t="s">
        <v>2220</v>
      </c>
      <c r="D291" s="43" t="s">
        <v>25</v>
      </c>
      <c r="E291" s="42" t="s">
        <v>377</v>
      </c>
      <c r="F291" s="96">
        <v>43536</v>
      </c>
    </row>
    <row r="292" spans="1:6" s="35" customFormat="1" hidden="1" x14ac:dyDescent="0.3">
      <c r="A292" s="33">
        <v>365593</v>
      </c>
      <c r="B292" s="106" t="s">
        <v>2211</v>
      </c>
      <c r="C292" s="107" t="s">
        <v>2221</v>
      </c>
      <c r="D292" s="43" t="s">
        <v>76</v>
      </c>
      <c r="E292" s="42" t="s">
        <v>5</v>
      </c>
      <c r="F292" s="96">
        <v>43536</v>
      </c>
    </row>
    <row r="293" spans="1:6" s="35" customFormat="1" hidden="1" x14ac:dyDescent="0.3">
      <c r="A293" s="33">
        <v>628123</v>
      </c>
      <c r="B293" s="106" t="s">
        <v>2210</v>
      </c>
      <c r="C293" s="107" t="s">
        <v>2222</v>
      </c>
      <c r="D293" s="43" t="s">
        <v>76</v>
      </c>
      <c r="E293" s="42" t="s">
        <v>5</v>
      </c>
      <c r="F293" s="96">
        <v>43536</v>
      </c>
    </row>
    <row r="294" spans="1:6" s="35" customFormat="1" hidden="1" x14ac:dyDescent="0.3">
      <c r="A294" s="33">
        <v>539056</v>
      </c>
      <c r="B294" s="106" t="s">
        <v>2223</v>
      </c>
      <c r="C294" s="107" t="s">
        <v>2224</v>
      </c>
      <c r="D294" s="43" t="s">
        <v>76</v>
      </c>
      <c r="E294" s="42" t="s">
        <v>5</v>
      </c>
      <c r="F294" s="96">
        <v>43536</v>
      </c>
    </row>
    <row r="295" spans="1:6" s="35" customFormat="1" hidden="1" x14ac:dyDescent="0.3">
      <c r="A295" s="33">
        <v>576439</v>
      </c>
      <c r="B295" s="106" t="s">
        <v>2204</v>
      </c>
      <c r="C295" s="107" t="s">
        <v>2205</v>
      </c>
      <c r="D295" s="43" t="s">
        <v>25</v>
      </c>
      <c r="E295" s="106" t="s">
        <v>2206</v>
      </c>
      <c r="F295" s="96" t="s">
        <v>860</v>
      </c>
    </row>
    <row r="296" spans="1:6" s="35" customFormat="1" hidden="1" x14ac:dyDescent="0.3">
      <c r="A296" s="112">
        <v>157883</v>
      </c>
      <c r="B296" s="106" t="s">
        <v>2200</v>
      </c>
      <c r="C296" s="107" t="s">
        <v>2201</v>
      </c>
      <c r="D296" s="43" t="s">
        <v>202</v>
      </c>
      <c r="E296" s="42" t="s">
        <v>2199</v>
      </c>
      <c r="F296" s="96" t="s">
        <v>860</v>
      </c>
    </row>
    <row r="297" spans="1:6" s="35" customFormat="1" hidden="1" x14ac:dyDescent="0.3">
      <c r="A297" s="112">
        <v>524322</v>
      </c>
      <c r="B297" s="106" t="s">
        <v>2203</v>
      </c>
      <c r="C297" s="107" t="s">
        <v>2202</v>
      </c>
      <c r="D297" s="43" t="s">
        <v>496</v>
      </c>
      <c r="E297" s="42" t="s">
        <v>2199</v>
      </c>
      <c r="F297" s="96" t="s">
        <v>860</v>
      </c>
    </row>
    <row r="298" spans="1:6" s="35" customFormat="1" hidden="1" x14ac:dyDescent="0.3">
      <c r="A298" s="112">
        <v>568998</v>
      </c>
      <c r="B298" s="106" t="s">
        <v>2197</v>
      </c>
      <c r="C298" s="107" t="s">
        <v>2198</v>
      </c>
      <c r="D298" s="43" t="s">
        <v>48</v>
      </c>
      <c r="E298" s="42" t="s">
        <v>2196</v>
      </c>
      <c r="F298" s="96" t="s">
        <v>860</v>
      </c>
    </row>
    <row r="299" spans="1:6" s="35" customFormat="1" hidden="1" x14ac:dyDescent="0.3">
      <c r="A299" s="112">
        <v>32284</v>
      </c>
      <c r="B299" s="106" t="s">
        <v>2146</v>
      </c>
      <c r="C299" s="107" t="s">
        <v>2152</v>
      </c>
      <c r="D299" s="43" t="s">
        <v>48</v>
      </c>
      <c r="E299" s="42" t="s">
        <v>5</v>
      </c>
      <c r="F299" s="96">
        <v>43536</v>
      </c>
    </row>
    <row r="300" spans="1:6" s="35" customFormat="1" hidden="1" x14ac:dyDescent="0.3">
      <c r="A300" s="112">
        <v>458950</v>
      </c>
      <c r="B300" s="106" t="s">
        <v>2207</v>
      </c>
      <c r="C300" s="107" t="s">
        <v>2208</v>
      </c>
      <c r="D300" s="43" t="s">
        <v>294</v>
      </c>
      <c r="E300" s="42" t="s">
        <v>5</v>
      </c>
      <c r="F300" s="96">
        <v>43529</v>
      </c>
    </row>
    <row r="301" spans="1:6" s="35" customFormat="1" hidden="1" x14ac:dyDescent="0.3">
      <c r="A301" s="112">
        <v>251108</v>
      </c>
      <c r="B301" s="106" t="s">
        <v>2194</v>
      </c>
      <c r="C301" s="107" t="s">
        <v>2195</v>
      </c>
      <c r="D301" s="43" t="s">
        <v>202</v>
      </c>
      <c r="E301" s="42" t="s">
        <v>1343</v>
      </c>
      <c r="F301" s="96" t="s">
        <v>860</v>
      </c>
    </row>
    <row r="302" spans="1:6" s="35" customFormat="1" hidden="1" x14ac:dyDescent="0.3">
      <c r="A302" s="112">
        <v>387043</v>
      </c>
      <c r="B302" s="106" t="s">
        <v>2190</v>
      </c>
      <c r="C302" s="107" t="s">
        <v>2191</v>
      </c>
      <c r="D302" s="43" t="s">
        <v>202</v>
      </c>
      <c r="E302" s="42" t="s">
        <v>1343</v>
      </c>
      <c r="F302" s="96">
        <v>43522</v>
      </c>
    </row>
    <row r="303" spans="1:6" s="35" customFormat="1" hidden="1" x14ac:dyDescent="0.3">
      <c r="A303" s="112">
        <v>524678</v>
      </c>
      <c r="B303" s="106" t="s">
        <v>2188</v>
      </c>
      <c r="C303" s="107" t="s">
        <v>1496</v>
      </c>
      <c r="D303" s="43" t="s">
        <v>1495</v>
      </c>
      <c r="E303" s="42" t="s">
        <v>5</v>
      </c>
      <c r="F303" s="96">
        <v>43522</v>
      </c>
    </row>
    <row r="304" spans="1:6" s="35" customFormat="1" hidden="1" x14ac:dyDescent="0.3">
      <c r="A304" s="112">
        <v>524686</v>
      </c>
      <c r="B304" s="106" t="s">
        <v>2189</v>
      </c>
      <c r="C304" s="107" t="s">
        <v>1509</v>
      </c>
      <c r="D304" s="43" t="s">
        <v>1495</v>
      </c>
      <c r="E304" s="42" t="s">
        <v>5</v>
      </c>
      <c r="F304" s="96">
        <v>43522</v>
      </c>
    </row>
    <row r="305" spans="1:6" s="35" customFormat="1" hidden="1" x14ac:dyDescent="0.3">
      <c r="A305" s="33">
        <v>380352</v>
      </c>
      <c r="B305" s="106" t="s">
        <v>2170</v>
      </c>
      <c r="C305" s="107" t="s">
        <v>2171</v>
      </c>
      <c r="D305" s="43" t="s">
        <v>48</v>
      </c>
      <c r="E305" s="42" t="s">
        <v>1343</v>
      </c>
      <c r="F305" s="96">
        <v>43522</v>
      </c>
    </row>
    <row r="306" spans="1:6" s="35" customFormat="1" hidden="1" x14ac:dyDescent="0.3">
      <c r="A306" s="33">
        <v>490417</v>
      </c>
      <c r="B306" s="106" t="s">
        <v>2167</v>
      </c>
      <c r="C306" s="107" t="s">
        <v>2172</v>
      </c>
      <c r="D306" s="43" t="s">
        <v>1620</v>
      </c>
      <c r="E306" s="42" t="s">
        <v>1343</v>
      </c>
      <c r="F306" s="96" t="s">
        <v>860</v>
      </c>
    </row>
    <row r="307" spans="1:6" s="35" customFormat="1" hidden="1" x14ac:dyDescent="0.3">
      <c r="A307" s="33">
        <v>490433</v>
      </c>
      <c r="B307" s="106" t="s">
        <v>2168</v>
      </c>
      <c r="C307" s="107" t="s">
        <v>2173</v>
      </c>
      <c r="D307" s="43" t="s">
        <v>1620</v>
      </c>
      <c r="E307" s="42" t="s">
        <v>1343</v>
      </c>
      <c r="F307" s="96" t="s">
        <v>860</v>
      </c>
    </row>
    <row r="308" spans="1:6" s="35" customFormat="1" hidden="1" x14ac:dyDescent="0.3">
      <c r="A308" s="33">
        <v>490458</v>
      </c>
      <c r="B308" s="106" t="s">
        <v>2169</v>
      </c>
      <c r="C308" s="107" t="s">
        <v>2174</v>
      </c>
      <c r="D308" s="43" t="s">
        <v>25</v>
      </c>
      <c r="E308" s="42" t="s">
        <v>1343</v>
      </c>
      <c r="F308" s="96" t="s">
        <v>860</v>
      </c>
    </row>
    <row r="309" spans="1:6" s="35" customFormat="1" hidden="1" x14ac:dyDescent="0.3">
      <c r="A309" s="33">
        <v>498014</v>
      </c>
      <c r="B309" s="106" t="s">
        <v>2158</v>
      </c>
      <c r="C309" s="107" t="s">
        <v>2160</v>
      </c>
      <c r="D309" s="43" t="s">
        <v>48</v>
      </c>
      <c r="E309" s="42" t="s">
        <v>1343</v>
      </c>
      <c r="F309" s="96" t="s">
        <v>860</v>
      </c>
    </row>
    <row r="310" spans="1:6" s="35" customFormat="1" hidden="1" x14ac:dyDescent="0.3">
      <c r="A310" s="33">
        <v>362764</v>
      </c>
      <c r="B310" s="106" t="s">
        <v>2159</v>
      </c>
      <c r="C310" s="107" t="s">
        <v>2161</v>
      </c>
      <c r="D310" s="43" t="s">
        <v>25</v>
      </c>
      <c r="E310" s="42" t="s">
        <v>1343</v>
      </c>
      <c r="F310" s="96" t="s">
        <v>860</v>
      </c>
    </row>
    <row r="311" spans="1:6" s="35" customFormat="1" hidden="1" x14ac:dyDescent="0.3">
      <c r="A311" s="33">
        <v>519802</v>
      </c>
      <c r="B311" s="106" t="s">
        <v>2192</v>
      </c>
      <c r="C311" s="107" t="s">
        <v>2193</v>
      </c>
      <c r="D311" s="43" t="s">
        <v>124</v>
      </c>
      <c r="E311" s="42" t="s">
        <v>2128</v>
      </c>
      <c r="F311" s="96" t="s">
        <v>860</v>
      </c>
    </row>
    <row r="312" spans="1:6" s="35" customFormat="1" ht="27.95" hidden="1" x14ac:dyDescent="0.3">
      <c r="A312" s="33">
        <v>385674</v>
      </c>
      <c r="B312" s="106" t="s">
        <v>2178</v>
      </c>
      <c r="C312" s="107" t="s">
        <v>2179</v>
      </c>
      <c r="D312" s="43" t="s">
        <v>25</v>
      </c>
      <c r="E312" s="55" t="s">
        <v>2183</v>
      </c>
      <c r="F312" s="96">
        <v>43516</v>
      </c>
    </row>
    <row r="313" spans="1:6" s="35" customFormat="1" ht="27.95" hidden="1" x14ac:dyDescent="0.3">
      <c r="A313" s="33">
        <v>578898</v>
      </c>
      <c r="B313" s="106" t="s">
        <v>2176</v>
      </c>
      <c r="C313" s="107" t="s">
        <v>1670</v>
      </c>
      <c r="D313" s="43" t="s">
        <v>25</v>
      </c>
      <c r="E313" s="55" t="s">
        <v>2184</v>
      </c>
      <c r="F313" s="96">
        <v>43516</v>
      </c>
    </row>
    <row r="314" spans="1:6" s="35" customFormat="1" hidden="1" x14ac:dyDescent="0.3">
      <c r="A314" s="33">
        <v>437228</v>
      </c>
      <c r="B314" s="106" t="s">
        <v>2177</v>
      </c>
      <c r="C314" s="107" t="s">
        <v>2180</v>
      </c>
      <c r="D314" s="43" t="s">
        <v>2181</v>
      </c>
      <c r="E314" s="42" t="s">
        <v>2182</v>
      </c>
      <c r="F314" s="96">
        <v>43516</v>
      </c>
    </row>
    <row r="315" spans="1:6" s="35" customFormat="1" ht="27.95" hidden="1" x14ac:dyDescent="0.3">
      <c r="A315" s="33">
        <v>466201</v>
      </c>
      <c r="B315" s="106" t="s">
        <v>2185</v>
      </c>
      <c r="C315" s="107" t="s">
        <v>2187</v>
      </c>
      <c r="D315" s="43" t="s">
        <v>25</v>
      </c>
      <c r="E315" s="55" t="s">
        <v>2186</v>
      </c>
      <c r="F315" s="96">
        <v>43516</v>
      </c>
    </row>
    <row r="316" spans="1:6" s="35" customFormat="1" hidden="1" x14ac:dyDescent="0.3">
      <c r="A316" s="33">
        <v>462580</v>
      </c>
      <c r="B316" s="106" t="s">
        <v>1642</v>
      </c>
      <c r="C316" s="107" t="s">
        <v>1643</v>
      </c>
      <c r="D316" s="43" t="s">
        <v>25</v>
      </c>
      <c r="E316" s="42" t="s">
        <v>2175</v>
      </c>
      <c r="F316" s="96">
        <v>43516</v>
      </c>
    </row>
    <row r="317" spans="1:6" s="35" customFormat="1" hidden="1" x14ac:dyDescent="0.3">
      <c r="A317" s="33">
        <v>279646</v>
      </c>
      <c r="B317" s="106" t="s">
        <v>2154</v>
      </c>
      <c r="C317" s="107" t="s">
        <v>2166</v>
      </c>
      <c r="D317" s="43" t="s">
        <v>48</v>
      </c>
      <c r="E317" s="42" t="s">
        <v>1343</v>
      </c>
      <c r="F317" s="96">
        <v>43516</v>
      </c>
    </row>
    <row r="318" spans="1:6" s="35" customFormat="1" hidden="1" x14ac:dyDescent="0.3">
      <c r="A318" s="33">
        <v>576546</v>
      </c>
      <c r="B318" s="106" t="s">
        <v>2155</v>
      </c>
      <c r="C318" s="107" t="s">
        <v>2165</v>
      </c>
      <c r="D318" s="43" t="s">
        <v>25</v>
      </c>
      <c r="E318" s="42" t="s">
        <v>1343</v>
      </c>
      <c r="F318" s="96">
        <v>43516</v>
      </c>
    </row>
    <row r="319" spans="1:6" s="35" customFormat="1" hidden="1" x14ac:dyDescent="0.3">
      <c r="A319" s="33">
        <v>8144</v>
      </c>
      <c r="B319" s="106" t="s">
        <v>2156</v>
      </c>
      <c r="C319" s="107" t="s">
        <v>2164</v>
      </c>
      <c r="D319" s="43" t="s">
        <v>48</v>
      </c>
      <c r="E319" s="42" t="s">
        <v>1343</v>
      </c>
      <c r="F319" s="96">
        <v>43516</v>
      </c>
    </row>
    <row r="320" spans="1:6" s="35" customFormat="1" hidden="1" x14ac:dyDescent="0.3">
      <c r="A320" s="33">
        <v>497677</v>
      </c>
      <c r="B320" s="106" t="s">
        <v>2157</v>
      </c>
      <c r="C320" s="107" t="s">
        <v>2163</v>
      </c>
      <c r="D320" s="43" t="s">
        <v>48</v>
      </c>
      <c r="E320" s="42" t="s">
        <v>1343</v>
      </c>
      <c r="F320" s="96">
        <v>43516</v>
      </c>
    </row>
    <row r="321" spans="1:6" s="35" customFormat="1" hidden="1" x14ac:dyDescent="0.3">
      <c r="A321" s="33">
        <v>374702</v>
      </c>
      <c r="B321" s="106" t="s">
        <v>2153</v>
      </c>
      <c r="C321" s="107" t="s">
        <v>2162</v>
      </c>
      <c r="D321" s="43" t="s">
        <v>29</v>
      </c>
      <c r="E321" s="21" t="s">
        <v>2234</v>
      </c>
      <c r="F321" s="111">
        <v>43516</v>
      </c>
    </row>
    <row r="322" spans="1:6" s="35" customFormat="1" hidden="1" x14ac:dyDescent="0.3">
      <c r="A322" s="33">
        <v>376285</v>
      </c>
      <c r="B322" s="106" t="s">
        <v>2150</v>
      </c>
      <c r="C322" s="107" t="s">
        <v>2151</v>
      </c>
      <c r="D322" s="43" t="s">
        <v>25</v>
      </c>
      <c r="E322" s="42" t="s">
        <v>2147</v>
      </c>
      <c r="F322" s="96">
        <v>43516</v>
      </c>
    </row>
    <row r="323" spans="1:6" s="35" customFormat="1" hidden="1" x14ac:dyDescent="0.3">
      <c r="A323" s="33">
        <v>499053</v>
      </c>
      <c r="B323" s="106" t="s">
        <v>2144</v>
      </c>
      <c r="C323" s="107" t="s">
        <v>2149</v>
      </c>
      <c r="D323" s="43" t="s">
        <v>25</v>
      </c>
      <c r="E323" s="42" t="s">
        <v>2143</v>
      </c>
      <c r="F323" s="96" t="s">
        <v>860</v>
      </c>
    </row>
    <row r="324" spans="1:6" s="35" customFormat="1" hidden="1" x14ac:dyDescent="0.3">
      <c r="A324" s="33">
        <v>439844</v>
      </c>
      <c r="B324" s="106" t="s">
        <v>2141</v>
      </c>
      <c r="C324" s="107" t="s">
        <v>2142</v>
      </c>
      <c r="D324" s="43" t="s">
        <v>202</v>
      </c>
      <c r="E324" s="42" t="s">
        <v>1343</v>
      </c>
      <c r="F324" s="96">
        <v>43516</v>
      </c>
    </row>
    <row r="325" spans="1:6" s="35" customFormat="1" hidden="1" x14ac:dyDescent="0.3">
      <c r="A325" s="33">
        <v>549683</v>
      </c>
      <c r="B325" s="106" t="s">
        <v>2137</v>
      </c>
      <c r="C325" s="107" t="s">
        <v>2139</v>
      </c>
      <c r="D325" s="43" t="s">
        <v>25</v>
      </c>
      <c r="E325" s="42" t="s">
        <v>1343</v>
      </c>
      <c r="F325" s="96">
        <v>43516</v>
      </c>
    </row>
    <row r="326" spans="1:6" s="35" customFormat="1" hidden="1" x14ac:dyDescent="0.3">
      <c r="A326" s="33">
        <v>571208</v>
      </c>
      <c r="B326" s="106" t="s">
        <v>2145</v>
      </c>
      <c r="C326" s="107" t="s">
        <v>2148</v>
      </c>
      <c r="D326" s="43" t="s">
        <v>25</v>
      </c>
      <c r="E326" s="42" t="s">
        <v>2128</v>
      </c>
      <c r="F326" s="96" t="s">
        <v>860</v>
      </c>
    </row>
    <row r="327" spans="1:6" s="35" customFormat="1" hidden="1" x14ac:dyDescent="0.3">
      <c r="A327" s="33">
        <v>609040</v>
      </c>
      <c r="B327" s="106" t="s">
        <v>2138</v>
      </c>
      <c r="C327" s="107" t="s">
        <v>2140</v>
      </c>
      <c r="D327" s="43" t="s">
        <v>127</v>
      </c>
      <c r="E327" s="42" t="s">
        <v>5</v>
      </c>
      <c r="F327" s="96">
        <v>43501</v>
      </c>
    </row>
    <row r="328" spans="1:6" s="35" customFormat="1" hidden="1" x14ac:dyDescent="0.3">
      <c r="A328" s="33">
        <v>22384</v>
      </c>
      <c r="B328" s="106" t="s">
        <v>2132</v>
      </c>
      <c r="C328" s="107" t="s">
        <v>2133</v>
      </c>
      <c r="D328" s="43" t="s">
        <v>202</v>
      </c>
      <c r="E328" s="106" t="s">
        <v>2134</v>
      </c>
      <c r="F328" s="96">
        <v>43501</v>
      </c>
    </row>
    <row r="329" spans="1:6" s="35" customFormat="1" hidden="1" x14ac:dyDescent="0.3">
      <c r="A329" s="33">
        <v>498089</v>
      </c>
      <c r="B329" s="106" t="s">
        <v>2090</v>
      </c>
      <c r="C329" s="107" t="s">
        <v>2091</v>
      </c>
      <c r="D329" s="43" t="s">
        <v>202</v>
      </c>
      <c r="E329" s="42" t="s">
        <v>5</v>
      </c>
      <c r="F329" s="96">
        <v>43501</v>
      </c>
    </row>
    <row r="330" spans="1:6" s="35" customFormat="1" hidden="1" x14ac:dyDescent="0.3">
      <c r="A330" s="33">
        <v>483552</v>
      </c>
      <c r="B330" s="89" t="s">
        <v>2092</v>
      </c>
      <c r="C330" s="107" t="s">
        <v>1181</v>
      </c>
      <c r="D330" s="43" t="s">
        <v>202</v>
      </c>
      <c r="E330" s="42" t="s">
        <v>5</v>
      </c>
      <c r="F330" s="96">
        <v>43501</v>
      </c>
    </row>
    <row r="331" spans="1:6" s="35" customFormat="1" hidden="1" x14ac:dyDescent="0.3">
      <c r="A331" s="33">
        <v>449520</v>
      </c>
      <c r="B331" s="89" t="s">
        <v>334</v>
      </c>
      <c r="C331" s="107" t="s">
        <v>2135</v>
      </c>
      <c r="D331" s="43" t="s">
        <v>25</v>
      </c>
      <c r="E331" s="106" t="s">
        <v>2136</v>
      </c>
      <c r="F331" s="96" t="s">
        <v>860</v>
      </c>
    </row>
    <row r="332" spans="1:6" s="35" customFormat="1" hidden="1" x14ac:dyDescent="0.3">
      <c r="A332" s="33">
        <v>482026</v>
      </c>
      <c r="B332" s="89" t="s">
        <v>2129</v>
      </c>
      <c r="C332" s="107" t="s">
        <v>2130</v>
      </c>
      <c r="D332" s="43" t="s">
        <v>202</v>
      </c>
      <c r="E332" s="42" t="s">
        <v>2131</v>
      </c>
      <c r="F332" s="96" t="s">
        <v>860</v>
      </c>
    </row>
    <row r="333" spans="1:6" s="35" customFormat="1" hidden="1" x14ac:dyDescent="0.3">
      <c r="A333" s="110">
        <v>379966</v>
      </c>
      <c r="B333" s="89" t="s">
        <v>2095</v>
      </c>
      <c r="C333" s="107" t="s">
        <v>2107</v>
      </c>
      <c r="D333" s="43" t="s">
        <v>37</v>
      </c>
      <c r="E333" s="42" t="s">
        <v>5</v>
      </c>
      <c r="F333" s="96" t="s">
        <v>860</v>
      </c>
    </row>
    <row r="334" spans="1:6" s="35" customFormat="1" hidden="1" x14ac:dyDescent="0.3">
      <c r="A334" s="110">
        <v>420034</v>
      </c>
      <c r="B334" s="89" t="s">
        <v>67</v>
      </c>
      <c r="C334" s="107" t="s">
        <v>69</v>
      </c>
      <c r="D334" s="43" t="s">
        <v>37</v>
      </c>
      <c r="E334" s="42" t="s">
        <v>5</v>
      </c>
      <c r="F334" s="96" t="s">
        <v>860</v>
      </c>
    </row>
    <row r="335" spans="1:6" s="35" customFormat="1" hidden="1" x14ac:dyDescent="0.3">
      <c r="A335" s="110">
        <v>449504</v>
      </c>
      <c r="B335" s="89" t="s">
        <v>2096</v>
      </c>
      <c r="C335" s="107" t="s">
        <v>2108</v>
      </c>
      <c r="D335" s="43" t="s">
        <v>37</v>
      </c>
      <c r="E335" s="42" t="s">
        <v>5</v>
      </c>
      <c r="F335" s="96" t="s">
        <v>860</v>
      </c>
    </row>
    <row r="336" spans="1:6" s="35" customFormat="1" hidden="1" x14ac:dyDescent="0.3">
      <c r="A336" s="110">
        <v>459016</v>
      </c>
      <c r="B336" s="89" t="s">
        <v>116</v>
      </c>
      <c r="C336" s="107" t="s">
        <v>2109</v>
      </c>
      <c r="D336" s="43" t="s">
        <v>25</v>
      </c>
      <c r="E336" s="42" t="s">
        <v>5</v>
      </c>
      <c r="F336" s="96" t="s">
        <v>860</v>
      </c>
    </row>
    <row r="337" spans="1:6" s="35" customFormat="1" hidden="1" x14ac:dyDescent="0.3">
      <c r="A337" s="110">
        <v>477380</v>
      </c>
      <c r="B337" s="89" t="s">
        <v>505</v>
      </c>
      <c r="C337" s="107" t="s">
        <v>2110</v>
      </c>
      <c r="D337" s="43" t="s">
        <v>25</v>
      </c>
      <c r="E337" s="42" t="s">
        <v>2128</v>
      </c>
      <c r="F337" s="96" t="s">
        <v>860</v>
      </c>
    </row>
    <row r="338" spans="1:6" s="35" customFormat="1" hidden="1" x14ac:dyDescent="0.3">
      <c r="A338" s="110">
        <v>479865</v>
      </c>
      <c r="B338" s="89" t="s">
        <v>2097</v>
      </c>
      <c r="C338" s="107" t="s">
        <v>2111</v>
      </c>
      <c r="D338" s="43" t="s">
        <v>25</v>
      </c>
      <c r="E338" s="42" t="s">
        <v>2128</v>
      </c>
      <c r="F338" s="96" t="s">
        <v>860</v>
      </c>
    </row>
    <row r="339" spans="1:6" s="35" customFormat="1" hidden="1" x14ac:dyDescent="0.3">
      <c r="A339" s="110">
        <v>493437</v>
      </c>
      <c r="B339" s="89" t="s">
        <v>506</v>
      </c>
      <c r="C339" s="107" t="s">
        <v>2112</v>
      </c>
      <c r="D339" s="43" t="s">
        <v>25</v>
      </c>
      <c r="E339" s="42" t="s">
        <v>2128</v>
      </c>
      <c r="F339" s="96" t="s">
        <v>860</v>
      </c>
    </row>
    <row r="340" spans="1:6" s="35" customFormat="1" hidden="1" x14ac:dyDescent="0.3">
      <c r="A340" s="110">
        <v>495713</v>
      </c>
      <c r="B340" s="89" t="s">
        <v>716</v>
      </c>
      <c r="C340" s="107" t="s">
        <v>717</v>
      </c>
      <c r="D340" s="43" t="s">
        <v>25</v>
      </c>
      <c r="E340" s="42" t="s">
        <v>5</v>
      </c>
      <c r="F340" s="96" t="s">
        <v>860</v>
      </c>
    </row>
    <row r="341" spans="1:6" s="35" customFormat="1" hidden="1" x14ac:dyDescent="0.3">
      <c r="A341" s="110">
        <v>518779</v>
      </c>
      <c r="B341" s="89" t="s">
        <v>2098</v>
      </c>
      <c r="C341" s="107" t="s">
        <v>2113</v>
      </c>
      <c r="D341" s="43" t="s">
        <v>25</v>
      </c>
      <c r="E341" s="42" t="s">
        <v>5</v>
      </c>
      <c r="F341" s="96" t="s">
        <v>860</v>
      </c>
    </row>
    <row r="342" spans="1:6" s="35" customFormat="1" hidden="1" x14ac:dyDescent="0.3">
      <c r="A342" s="110">
        <v>519819</v>
      </c>
      <c r="B342" s="89" t="s">
        <v>2099</v>
      </c>
      <c r="C342" s="107" t="s">
        <v>2114</v>
      </c>
      <c r="D342" s="43" t="s">
        <v>294</v>
      </c>
      <c r="E342" s="42" t="s">
        <v>5</v>
      </c>
      <c r="F342" s="96" t="s">
        <v>860</v>
      </c>
    </row>
    <row r="343" spans="1:6" s="35" customFormat="1" hidden="1" x14ac:dyDescent="0.3">
      <c r="A343" s="110">
        <v>519876</v>
      </c>
      <c r="B343" s="89" t="s">
        <v>2100</v>
      </c>
      <c r="C343" s="107" t="s">
        <v>2115</v>
      </c>
      <c r="D343" s="43" t="s">
        <v>25</v>
      </c>
      <c r="E343" s="42" t="s">
        <v>2128</v>
      </c>
      <c r="F343" s="96" t="s">
        <v>860</v>
      </c>
    </row>
    <row r="344" spans="1:6" s="35" customFormat="1" hidden="1" x14ac:dyDescent="0.3">
      <c r="A344" s="110">
        <v>520858</v>
      </c>
      <c r="B344" s="89" t="s">
        <v>2101</v>
      </c>
      <c r="C344" s="107" t="s">
        <v>2116</v>
      </c>
      <c r="D344" s="43" t="s">
        <v>294</v>
      </c>
      <c r="E344" s="42" t="s">
        <v>5</v>
      </c>
      <c r="F344" s="96" t="s">
        <v>860</v>
      </c>
    </row>
    <row r="345" spans="1:6" s="35" customFormat="1" hidden="1" x14ac:dyDescent="0.3">
      <c r="A345" s="110">
        <v>569426</v>
      </c>
      <c r="B345" s="89" t="s">
        <v>2102</v>
      </c>
      <c r="C345" s="107" t="s">
        <v>2117</v>
      </c>
      <c r="D345" s="43" t="s">
        <v>25</v>
      </c>
      <c r="E345" s="42" t="s">
        <v>2128</v>
      </c>
      <c r="F345" s="96" t="s">
        <v>860</v>
      </c>
    </row>
    <row r="346" spans="1:6" s="35" customFormat="1" hidden="1" x14ac:dyDescent="0.3">
      <c r="A346" s="110">
        <v>574822</v>
      </c>
      <c r="B346" s="89" t="s">
        <v>2103</v>
      </c>
      <c r="C346" s="107" t="s">
        <v>2118</v>
      </c>
      <c r="D346" s="43" t="s">
        <v>25</v>
      </c>
      <c r="E346" s="42" t="s">
        <v>5</v>
      </c>
      <c r="F346" s="96" t="s">
        <v>860</v>
      </c>
    </row>
    <row r="347" spans="1:6" s="35" customFormat="1" hidden="1" x14ac:dyDescent="0.3">
      <c r="A347" s="110">
        <v>575860</v>
      </c>
      <c r="B347" s="89" t="s">
        <v>2104</v>
      </c>
      <c r="C347" s="107" t="s">
        <v>2119</v>
      </c>
      <c r="D347" s="43" t="s">
        <v>25</v>
      </c>
      <c r="E347" s="42" t="s">
        <v>5</v>
      </c>
      <c r="F347" s="96" t="s">
        <v>860</v>
      </c>
    </row>
    <row r="348" spans="1:6" s="35" customFormat="1" hidden="1" x14ac:dyDescent="0.3">
      <c r="A348" s="110">
        <v>576660</v>
      </c>
      <c r="B348" s="89" t="s">
        <v>2105</v>
      </c>
      <c r="C348" s="107" t="s">
        <v>2120</v>
      </c>
      <c r="D348" s="43" t="s">
        <v>25</v>
      </c>
      <c r="E348" s="42" t="s">
        <v>5</v>
      </c>
      <c r="F348" s="96" t="s">
        <v>860</v>
      </c>
    </row>
    <row r="349" spans="1:6" s="35" customFormat="1" hidden="1" x14ac:dyDescent="0.3">
      <c r="A349" s="110">
        <v>573535</v>
      </c>
      <c r="B349" s="89" t="s">
        <v>2106</v>
      </c>
      <c r="C349" s="107" t="s">
        <v>2121</v>
      </c>
      <c r="D349" s="43" t="s">
        <v>25</v>
      </c>
      <c r="E349" s="42" t="s">
        <v>2128</v>
      </c>
      <c r="F349" s="96" t="s">
        <v>860</v>
      </c>
    </row>
    <row r="350" spans="1:6" s="35" customFormat="1" hidden="1" x14ac:dyDescent="0.3">
      <c r="A350" s="33">
        <v>575613</v>
      </c>
      <c r="B350" s="106" t="s">
        <v>2088</v>
      </c>
      <c r="C350" s="107" t="s">
        <v>2124</v>
      </c>
      <c r="D350" s="43" t="s">
        <v>25</v>
      </c>
      <c r="E350" s="42" t="s">
        <v>1343</v>
      </c>
      <c r="F350" s="96">
        <v>43501</v>
      </c>
    </row>
    <row r="351" spans="1:6" s="35" customFormat="1" hidden="1" x14ac:dyDescent="0.3">
      <c r="A351" s="33">
        <v>910026</v>
      </c>
      <c r="B351" s="106" t="s">
        <v>2085</v>
      </c>
      <c r="C351" s="107" t="s">
        <v>2086</v>
      </c>
      <c r="D351" s="43" t="s">
        <v>106</v>
      </c>
      <c r="E351" s="42" t="s">
        <v>5</v>
      </c>
      <c r="F351" s="96">
        <v>43501</v>
      </c>
    </row>
    <row r="352" spans="1:6" s="35" customFormat="1" hidden="1" x14ac:dyDescent="0.3">
      <c r="A352" s="33">
        <v>479790</v>
      </c>
      <c r="B352" s="106" t="s">
        <v>2083</v>
      </c>
      <c r="C352" s="107" t="s">
        <v>2125</v>
      </c>
      <c r="D352" s="43" t="s">
        <v>37</v>
      </c>
      <c r="E352" s="42" t="s">
        <v>5</v>
      </c>
      <c r="F352" s="96">
        <v>43501</v>
      </c>
    </row>
    <row r="353" spans="1:6" s="35" customFormat="1" hidden="1" x14ac:dyDescent="0.3">
      <c r="A353" s="33">
        <v>473819</v>
      </c>
      <c r="B353" s="106" t="s">
        <v>2084</v>
      </c>
      <c r="C353" s="107" t="s">
        <v>2126</v>
      </c>
      <c r="D353" s="43" t="s">
        <v>37</v>
      </c>
      <c r="E353" s="42" t="s">
        <v>5</v>
      </c>
      <c r="F353" s="96">
        <v>43501</v>
      </c>
    </row>
    <row r="354" spans="1:6" s="35" customFormat="1" ht="27.95" hidden="1" x14ac:dyDescent="0.3">
      <c r="A354" s="33">
        <v>6445</v>
      </c>
      <c r="B354" s="106" t="s">
        <v>2070</v>
      </c>
      <c r="C354" s="107" t="s">
        <v>2071</v>
      </c>
      <c r="D354" s="43" t="s">
        <v>25</v>
      </c>
      <c r="E354" s="55" t="s">
        <v>2080</v>
      </c>
      <c r="F354" s="96">
        <v>43501</v>
      </c>
    </row>
    <row r="355" spans="1:6" s="35" customFormat="1" ht="27.95" hidden="1" x14ac:dyDescent="0.3">
      <c r="A355" s="33">
        <v>416248</v>
      </c>
      <c r="B355" s="106" t="s">
        <v>2072</v>
      </c>
      <c r="C355" s="107" t="s">
        <v>2073</v>
      </c>
      <c r="D355" s="43" t="s">
        <v>25</v>
      </c>
      <c r="E355" s="55" t="s">
        <v>2081</v>
      </c>
      <c r="F355" s="96">
        <v>43501</v>
      </c>
    </row>
    <row r="356" spans="1:6" s="35" customFormat="1" ht="27.95" hidden="1" x14ac:dyDescent="0.3">
      <c r="A356" s="33">
        <v>512947</v>
      </c>
      <c r="B356" s="106" t="s">
        <v>2074</v>
      </c>
      <c r="C356" s="107" t="s">
        <v>2075</v>
      </c>
      <c r="D356" s="43" t="s">
        <v>25</v>
      </c>
      <c r="E356" s="55" t="s">
        <v>2082</v>
      </c>
      <c r="F356" s="96">
        <v>43501</v>
      </c>
    </row>
    <row r="357" spans="1:6" s="35" customFormat="1" hidden="1" x14ac:dyDescent="0.3">
      <c r="A357" s="33">
        <v>523365</v>
      </c>
      <c r="B357" s="106" t="s">
        <v>2089</v>
      </c>
      <c r="C357" s="107" t="s">
        <v>2127</v>
      </c>
      <c r="D357" s="43" t="s">
        <v>25</v>
      </c>
      <c r="E357" s="42" t="s">
        <v>5</v>
      </c>
      <c r="F357" s="96" t="s">
        <v>860</v>
      </c>
    </row>
    <row r="358" spans="1:6" s="35" customFormat="1" hidden="1" x14ac:dyDescent="0.3">
      <c r="A358" s="33">
        <v>295188</v>
      </c>
      <c r="B358" s="106" t="s">
        <v>2078</v>
      </c>
      <c r="C358" s="107" t="s">
        <v>2079</v>
      </c>
      <c r="D358" s="43" t="s">
        <v>202</v>
      </c>
      <c r="E358" s="42" t="s">
        <v>1343</v>
      </c>
      <c r="F358" s="108" t="s">
        <v>860</v>
      </c>
    </row>
    <row r="359" spans="1:6" s="35" customFormat="1" hidden="1" x14ac:dyDescent="0.3">
      <c r="A359" s="33">
        <v>679720</v>
      </c>
      <c r="B359" s="106" t="s">
        <v>2076</v>
      </c>
      <c r="C359" s="107" t="s">
        <v>2077</v>
      </c>
      <c r="D359" s="43" t="s">
        <v>37</v>
      </c>
      <c r="E359" s="42" t="s">
        <v>5</v>
      </c>
      <c r="F359" s="108" t="s">
        <v>860</v>
      </c>
    </row>
    <row r="360" spans="1:6" s="35" customFormat="1" hidden="1" x14ac:dyDescent="0.3">
      <c r="A360" s="33">
        <v>560912</v>
      </c>
      <c r="B360" s="106" t="s">
        <v>2066</v>
      </c>
      <c r="C360" s="107" t="s">
        <v>2069</v>
      </c>
      <c r="D360" s="43" t="s">
        <v>37</v>
      </c>
      <c r="E360" s="42" t="s">
        <v>1343</v>
      </c>
      <c r="F360" s="96" t="s">
        <v>860</v>
      </c>
    </row>
    <row r="361" spans="1:6" s="35" customFormat="1" hidden="1" x14ac:dyDescent="0.3">
      <c r="A361" s="33">
        <v>475483</v>
      </c>
      <c r="B361" s="106" t="s">
        <v>2067</v>
      </c>
      <c r="C361" s="107" t="s">
        <v>2068</v>
      </c>
      <c r="D361" s="43" t="s">
        <v>202</v>
      </c>
      <c r="E361" s="42" t="s">
        <v>5</v>
      </c>
      <c r="F361" s="96">
        <v>43487</v>
      </c>
    </row>
    <row r="362" spans="1:6" s="35" customFormat="1" hidden="1" x14ac:dyDescent="0.3">
      <c r="A362" s="33">
        <v>518274</v>
      </c>
      <c r="B362" s="106" t="s">
        <v>2061</v>
      </c>
      <c r="C362" s="107" t="s">
        <v>1059</v>
      </c>
      <c r="D362" s="43" t="s">
        <v>25</v>
      </c>
      <c r="E362" s="42" t="s">
        <v>5</v>
      </c>
      <c r="F362" s="96">
        <v>43487</v>
      </c>
    </row>
    <row r="363" spans="1:6" s="35" customFormat="1" hidden="1" x14ac:dyDescent="0.3">
      <c r="A363" s="33">
        <v>469262</v>
      </c>
      <c r="B363" s="106" t="s">
        <v>2087</v>
      </c>
      <c r="C363" s="107" t="s">
        <v>2122</v>
      </c>
      <c r="D363" s="43" t="s">
        <v>48</v>
      </c>
      <c r="E363" s="42" t="s">
        <v>2128</v>
      </c>
      <c r="F363" s="96">
        <v>43484</v>
      </c>
    </row>
    <row r="364" spans="1:6" s="35" customFormat="1" hidden="1" x14ac:dyDescent="0.3">
      <c r="A364" s="33">
        <v>541243</v>
      </c>
      <c r="B364" s="106" t="s">
        <v>2094</v>
      </c>
      <c r="C364" s="107" t="s">
        <v>2123</v>
      </c>
      <c r="D364" s="43" t="s">
        <v>98</v>
      </c>
      <c r="E364" s="42" t="s">
        <v>2128</v>
      </c>
      <c r="F364" s="96">
        <v>43484</v>
      </c>
    </row>
    <row r="365" spans="1:6" s="35" customFormat="1" hidden="1" x14ac:dyDescent="0.3">
      <c r="A365" s="33">
        <v>569343</v>
      </c>
      <c r="B365" s="106" t="s">
        <v>2062</v>
      </c>
      <c r="C365" s="107" t="s">
        <v>2064</v>
      </c>
      <c r="D365" s="43" t="s">
        <v>25</v>
      </c>
      <c r="E365" s="42" t="s">
        <v>1343</v>
      </c>
      <c r="F365" s="96" t="s">
        <v>860</v>
      </c>
    </row>
    <row r="366" spans="1:6" s="35" customFormat="1" hidden="1" x14ac:dyDescent="0.3">
      <c r="A366" s="33">
        <v>620179</v>
      </c>
      <c r="B366" s="106" t="s">
        <v>2063</v>
      </c>
      <c r="C366" s="107" t="s">
        <v>2065</v>
      </c>
      <c r="D366" s="43" t="s">
        <v>98</v>
      </c>
      <c r="E366" s="42" t="s">
        <v>1343</v>
      </c>
      <c r="F366" s="96" t="s">
        <v>860</v>
      </c>
    </row>
    <row r="367" spans="1:6" s="35" customFormat="1" hidden="1" x14ac:dyDescent="0.3">
      <c r="A367" s="33">
        <v>638890</v>
      </c>
      <c r="B367" s="106" t="s">
        <v>2047</v>
      </c>
      <c r="C367" s="107" t="s">
        <v>2050</v>
      </c>
      <c r="D367" s="43" t="s">
        <v>25</v>
      </c>
      <c r="E367" s="42" t="s">
        <v>5</v>
      </c>
      <c r="F367" s="96">
        <v>43480</v>
      </c>
    </row>
    <row r="368" spans="1:6" s="35" customFormat="1" hidden="1" x14ac:dyDescent="0.3">
      <c r="A368" s="33">
        <v>514943</v>
      </c>
      <c r="B368" s="106" t="s">
        <v>2048</v>
      </c>
      <c r="C368" s="107" t="s">
        <v>2049</v>
      </c>
      <c r="D368" s="43" t="s">
        <v>202</v>
      </c>
      <c r="E368" s="42" t="s">
        <v>5</v>
      </c>
      <c r="F368" s="96">
        <v>43480</v>
      </c>
    </row>
    <row r="369" spans="1:6" s="35" customFormat="1" hidden="1" x14ac:dyDescent="0.3">
      <c r="A369" s="33">
        <v>458612</v>
      </c>
      <c r="B369" s="106" t="s">
        <v>2051</v>
      </c>
      <c r="C369" s="107" t="s">
        <v>2056</v>
      </c>
      <c r="D369" s="107" t="s">
        <v>25</v>
      </c>
      <c r="E369" s="42" t="s">
        <v>5</v>
      </c>
      <c r="F369" s="96">
        <v>43480</v>
      </c>
    </row>
    <row r="370" spans="1:6" s="35" customFormat="1" hidden="1" x14ac:dyDescent="0.3">
      <c r="A370" s="33">
        <v>467381</v>
      </c>
      <c r="B370" s="106" t="s">
        <v>2052</v>
      </c>
      <c r="C370" s="107" t="s">
        <v>2057</v>
      </c>
      <c r="D370" s="107" t="s">
        <v>137</v>
      </c>
      <c r="E370" s="42" t="s">
        <v>5</v>
      </c>
      <c r="F370" s="96">
        <v>43480</v>
      </c>
    </row>
    <row r="371" spans="1:6" s="35" customFormat="1" hidden="1" x14ac:dyDescent="0.3">
      <c r="A371" s="33">
        <v>470625</v>
      </c>
      <c r="B371" s="106" t="s">
        <v>2053</v>
      </c>
      <c r="C371" s="107" t="s">
        <v>2058</v>
      </c>
      <c r="D371" s="107" t="s">
        <v>25</v>
      </c>
      <c r="E371" s="42" t="s">
        <v>5</v>
      </c>
      <c r="F371" s="96">
        <v>43480</v>
      </c>
    </row>
    <row r="372" spans="1:6" s="35" customFormat="1" hidden="1" x14ac:dyDescent="0.3">
      <c r="A372" s="33">
        <v>474387</v>
      </c>
      <c r="B372" s="106" t="s">
        <v>2054</v>
      </c>
      <c r="C372" s="107" t="s">
        <v>2059</v>
      </c>
      <c r="D372" s="107" t="s">
        <v>25</v>
      </c>
      <c r="E372" s="42" t="s">
        <v>5</v>
      </c>
      <c r="F372" s="96">
        <v>43480</v>
      </c>
    </row>
    <row r="373" spans="1:6" s="35" customFormat="1" hidden="1" x14ac:dyDescent="0.3">
      <c r="A373" s="33">
        <v>482596</v>
      </c>
      <c r="B373" s="106" t="s">
        <v>2055</v>
      </c>
      <c r="C373" s="107" t="s">
        <v>2060</v>
      </c>
      <c r="D373" s="107" t="s">
        <v>137</v>
      </c>
      <c r="E373" s="42" t="s">
        <v>5</v>
      </c>
      <c r="F373" s="96">
        <v>43480</v>
      </c>
    </row>
    <row r="374" spans="1:6" s="35" customFormat="1" hidden="1" x14ac:dyDescent="0.3">
      <c r="A374" s="33">
        <v>349126</v>
      </c>
      <c r="B374" s="106" t="s">
        <v>2045</v>
      </c>
      <c r="C374" s="107" t="s">
        <v>2044</v>
      </c>
      <c r="D374" s="43" t="s">
        <v>202</v>
      </c>
      <c r="E374" s="106" t="s">
        <v>2046</v>
      </c>
      <c r="F374" s="96">
        <v>43473</v>
      </c>
    </row>
    <row r="375" spans="1:6" s="35" customFormat="1" hidden="1" x14ac:dyDescent="0.3">
      <c r="A375" s="50" t="s">
        <v>2039</v>
      </c>
      <c r="B375" s="106" t="s">
        <v>2040</v>
      </c>
      <c r="C375" s="107" t="s">
        <v>2041</v>
      </c>
      <c r="D375" s="43" t="s">
        <v>48</v>
      </c>
      <c r="E375" s="42" t="s">
        <v>2093</v>
      </c>
      <c r="F375" s="96">
        <v>43473</v>
      </c>
    </row>
    <row r="376" spans="1:6" s="35" customFormat="1" hidden="1" x14ac:dyDescent="0.3">
      <c r="A376" s="33">
        <v>43588</v>
      </c>
      <c r="B376" s="106" t="s">
        <v>2031</v>
      </c>
      <c r="C376" s="107" t="s">
        <v>2032</v>
      </c>
      <c r="D376" s="43" t="s">
        <v>202</v>
      </c>
      <c r="E376" s="42" t="s">
        <v>5</v>
      </c>
      <c r="F376" s="96">
        <v>43473</v>
      </c>
    </row>
    <row r="377" spans="1:6" s="35" customFormat="1" hidden="1" x14ac:dyDescent="0.3">
      <c r="A377" s="33">
        <v>222570</v>
      </c>
      <c r="B377" s="106" t="s">
        <v>2020</v>
      </c>
      <c r="C377" s="107" t="s">
        <v>2022</v>
      </c>
      <c r="D377" s="43" t="s">
        <v>202</v>
      </c>
      <c r="E377" s="42" t="s">
        <v>1343</v>
      </c>
      <c r="F377" s="96">
        <v>43473</v>
      </c>
    </row>
    <row r="378" spans="1:6" s="35" customFormat="1" hidden="1" x14ac:dyDescent="0.3">
      <c r="A378" s="33">
        <v>308304</v>
      </c>
      <c r="B378" s="106" t="s">
        <v>2019</v>
      </c>
      <c r="C378" s="107" t="s">
        <v>2021</v>
      </c>
      <c r="D378" s="43" t="s">
        <v>202</v>
      </c>
      <c r="E378" s="42" t="s">
        <v>1343</v>
      </c>
      <c r="F378" s="96">
        <v>43473</v>
      </c>
    </row>
    <row r="379" spans="1:6" s="35" customFormat="1" hidden="1" x14ac:dyDescent="0.3">
      <c r="A379" s="33">
        <v>538892</v>
      </c>
      <c r="B379" s="106" t="s">
        <v>2018</v>
      </c>
      <c r="C379" s="107" t="s">
        <v>2017</v>
      </c>
      <c r="D379" s="43" t="s">
        <v>76</v>
      </c>
      <c r="E379" s="42" t="s">
        <v>5</v>
      </c>
      <c r="F379" s="96">
        <v>43473</v>
      </c>
    </row>
    <row r="380" spans="1:6" s="35" customFormat="1" hidden="1" x14ac:dyDescent="0.3">
      <c r="A380" s="33">
        <v>548479</v>
      </c>
      <c r="B380" s="106" t="s">
        <v>2042</v>
      </c>
      <c r="C380" s="107" t="s">
        <v>2043</v>
      </c>
      <c r="D380" s="43" t="s">
        <v>48</v>
      </c>
      <c r="E380" s="42" t="s">
        <v>377</v>
      </c>
      <c r="F380" s="96" t="s">
        <v>860</v>
      </c>
    </row>
    <row r="381" spans="1:6" s="35" customFormat="1" hidden="1" x14ac:dyDescent="0.3">
      <c r="A381" s="50">
        <v>192666</v>
      </c>
      <c r="B381" s="109" t="s">
        <v>2010</v>
      </c>
      <c r="C381" s="107" t="s">
        <v>2011</v>
      </c>
      <c r="D381" s="43" t="s">
        <v>202</v>
      </c>
      <c r="E381" s="42" t="s">
        <v>5</v>
      </c>
      <c r="F381" s="96">
        <v>43466</v>
      </c>
    </row>
    <row r="382" spans="1:6" s="35" customFormat="1" hidden="1" x14ac:dyDescent="0.3">
      <c r="A382" s="33">
        <v>370866</v>
      </c>
      <c r="B382" s="106" t="s">
        <v>1992</v>
      </c>
      <c r="C382" s="107" t="s">
        <v>1993</v>
      </c>
      <c r="D382" s="43" t="s">
        <v>202</v>
      </c>
      <c r="E382" s="42" t="s">
        <v>1343</v>
      </c>
      <c r="F382" s="96">
        <v>43466</v>
      </c>
    </row>
    <row r="383" spans="1:6" s="35" customFormat="1" hidden="1" x14ac:dyDescent="0.3">
      <c r="A383" s="33">
        <v>368811</v>
      </c>
      <c r="B383" s="109" t="s">
        <v>1998</v>
      </c>
      <c r="C383" s="107" t="s">
        <v>1999</v>
      </c>
      <c r="D383" s="43" t="s">
        <v>202</v>
      </c>
      <c r="E383" s="42" t="s">
        <v>1343</v>
      </c>
      <c r="F383" s="96">
        <v>43466</v>
      </c>
    </row>
    <row r="384" spans="1:6" s="35" customFormat="1" hidden="1" x14ac:dyDescent="0.3">
      <c r="A384" s="33">
        <v>631473</v>
      </c>
      <c r="B384" s="106" t="s">
        <v>2000</v>
      </c>
      <c r="C384" s="107" t="s">
        <v>2001</v>
      </c>
      <c r="D384" s="43" t="s">
        <v>496</v>
      </c>
      <c r="E384" s="42" t="s">
        <v>1343</v>
      </c>
      <c r="F384" s="96">
        <v>43466</v>
      </c>
    </row>
    <row r="385" spans="1:6" s="35" customFormat="1" hidden="1" x14ac:dyDescent="0.3">
      <c r="A385" s="33">
        <v>215632</v>
      </c>
      <c r="B385" s="106" t="s">
        <v>1990</v>
      </c>
      <c r="C385" s="107" t="s">
        <v>1991</v>
      </c>
      <c r="D385" s="43" t="s">
        <v>202</v>
      </c>
      <c r="E385" s="42" t="s">
        <v>5</v>
      </c>
      <c r="F385" s="96">
        <v>43466</v>
      </c>
    </row>
    <row r="386" spans="1:6" hidden="1" x14ac:dyDescent="0.3">
      <c r="A386" s="33" t="s">
        <v>2008</v>
      </c>
      <c r="B386" s="106" t="s">
        <v>2009</v>
      </c>
      <c r="C386" s="107" t="s">
        <v>2016</v>
      </c>
      <c r="D386" s="43" t="s">
        <v>25</v>
      </c>
      <c r="E386" s="42" t="s">
        <v>5</v>
      </c>
      <c r="F386" s="96">
        <v>43466</v>
      </c>
    </row>
  </sheetData>
  <autoFilter ref="A3:F386" xr:uid="{00000000-0009-0000-0000-000002000000}">
    <filterColumn colId="1">
      <filters>
        <filter val="MASI BONACOSTA VALPOLICELLA CLASSICO DOC"/>
        <filter val="Masi Campofiorin"/>
        <filter val="MASI CAMPOFIORIN IGT"/>
        <filter val="Masi Costasera Amarone Classico DOC"/>
        <filter val="Masi Masianco Pinot Grigio &amp; Verduzzo"/>
        <filter val="MASI MODELLO MERLOT TREVENEZIE IGT"/>
        <filter val="MASI MODELLO PINOT GRIGIO DELLE VENEZIE DOC"/>
        <filter val="Masi Tupunga Passo Doble Organic"/>
      </filters>
    </filterColumn>
  </autoFilter>
  <printOptions gridLines="1"/>
  <pageMargins left="0" right="0" top="0.5" bottom="0.5" header="0.3" footer="0.3"/>
  <pageSetup paperSize="5" scale="86" fitToWidth="0" fitToHeight="0" orientation="landscape" horizontalDpi="300" verticalDpi="300" r:id="rId1"/>
  <headerFooter>
    <oddHeader>&amp;R&amp;D</oddHeader>
  </headerFooter>
  <ignoredErrors>
    <ignoredError sqref="A375 C251:C386 A225 C234:C249 C210:C211 C213:C232 C166 C163:C164 C117:C121 C34:C37 A34:A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0"/>
  <sheetViews>
    <sheetView topLeftCell="A375" zoomScale="80" zoomScaleNormal="80" workbookViewId="0">
      <selection activeCell="B32" sqref="B32"/>
    </sheetView>
  </sheetViews>
  <sheetFormatPr defaultColWidth="9.09765625" defaultRowHeight="14" x14ac:dyDescent="0.3"/>
  <cols>
    <col min="1" max="1" width="10.3984375" style="4" customWidth="1"/>
    <col min="2" max="2" width="47" style="64" customWidth="1"/>
    <col min="3" max="3" width="15" style="23" bestFit="1" customWidth="1"/>
    <col min="4" max="4" width="8.8984375" style="4" customWidth="1"/>
    <col min="5" max="5" width="100" style="64" customWidth="1"/>
    <col min="6" max="6" width="12.3984375" style="1" bestFit="1" customWidth="1"/>
    <col min="7" max="7" width="11.3984375" style="64" customWidth="1"/>
    <col min="8" max="16384" width="9.09765625" style="64"/>
  </cols>
  <sheetData>
    <row r="1" spans="1:6" x14ac:dyDescent="0.3">
      <c r="A1" s="28" t="s">
        <v>0</v>
      </c>
    </row>
    <row r="2" spans="1:6" x14ac:dyDescent="0.3">
      <c r="E2" s="59"/>
    </row>
    <row r="3" spans="1:6" ht="27.95" x14ac:dyDescent="0.3">
      <c r="A3" s="27" t="s">
        <v>1</v>
      </c>
      <c r="B3" s="92" t="s">
        <v>2</v>
      </c>
      <c r="C3" s="92" t="s">
        <v>23</v>
      </c>
      <c r="D3" s="92" t="s">
        <v>3</v>
      </c>
      <c r="E3" s="92" t="s">
        <v>17</v>
      </c>
      <c r="F3" s="93" t="s">
        <v>4</v>
      </c>
    </row>
    <row r="4" spans="1:6" s="35" customFormat="1" ht="27.95" x14ac:dyDescent="0.3">
      <c r="A4" s="33">
        <v>404947</v>
      </c>
      <c r="B4" s="106" t="s">
        <v>2033</v>
      </c>
      <c r="C4" s="107" t="s">
        <v>2035</v>
      </c>
      <c r="D4" s="43" t="s">
        <v>202</v>
      </c>
      <c r="E4" s="55" t="s">
        <v>2036</v>
      </c>
      <c r="F4" s="108" t="s">
        <v>860</v>
      </c>
    </row>
    <row r="5" spans="1:6" s="35" customFormat="1" ht="27.95" x14ac:dyDescent="0.3">
      <c r="A5" s="33">
        <v>404939</v>
      </c>
      <c r="B5" s="106" t="s">
        <v>2034</v>
      </c>
      <c r="C5" s="107" t="s">
        <v>2037</v>
      </c>
      <c r="D5" s="43" t="s">
        <v>202</v>
      </c>
      <c r="E5" s="55" t="s">
        <v>2038</v>
      </c>
      <c r="F5" s="108" t="s">
        <v>860</v>
      </c>
    </row>
    <row r="6" spans="1:6" s="35" customFormat="1" x14ac:dyDescent="0.3">
      <c r="A6" s="33">
        <v>222778</v>
      </c>
      <c r="B6" s="106" t="s">
        <v>2023</v>
      </c>
      <c r="C6" s="107" t="s">
        <v>2024</v>
      </c>
      <c r="D6" s="43" t="s">
        <v>202</v>
      </c>
      <c r="E6" s="42" t="s">
        <v>1343</v>
      </c>
      <c r="F6" s="108" t="s">
        <v>860</v>
      </c>
    </row>
    <row r="7" spans="1:6" s="35" customFormat="1" x14ac:dyDescent="0.3">
      <c r="A7" s="33">
        <v>430389</v>
      </c>
      <c r="B7" s="106" t="s">
        <v>1972</v>
      </c>
      <c r="C7" s="107" t="s">
        <v>1973</v>
      </c>
      <c r="D7" s="43" t="s">
        <v>202</v>
      </c>
      <c r="E7" s="42" t="s">
        <v>1343</v>
      </c>
      <c r="F7" s="108" t="s">
        <v>860</v>
      </c>
    </row>
    <row r="8" spans="1:6" s="35" customFormat="1" x14ac:dyDescent="0.3">
      <c r="A8" s="33">
        <v>262261</v>
      </c>
      <c r="B8" s="106" t="s">
        <v>2025</v>
      </c>
      <c r="C8" s="107" t="s">
        <v>2026</v>
      </c>
      <c r="D8" s="43" t="s">
        <v>202</v>
      </c>
      <c r="E8" s="42" t="s">
        <v>1343</v>
      </c>
      <c r="F8" s="108" t="s">
        <v>860</v>
      </c>
    </row>
    <row r="9" spans="1:6" s="35" customFormat="1" x14ac:dyDescent="0.3">
      <c r="A9" s="33">
        <v>541987</v>
      </c>
      <c r="B9" s="106" t="s">
        <v>2028</v>
      </c>
      <c r="C9" s="107" t="s">
        <v>2027</v>
      </c>
      <c r="D9" s="43" t="s">
        <v>202</v>
      </c>
      <c r="E9" s="42" t="s">
        <v>1343</v>
      </c>
      <c r="F9" s="108" t="s">
        <v>860</v>
      </c>
    </row>
    <row r="10" spans="1:6" s="35" customFormat="1" x14ac:dyDescent="0.3">
      <c r="A10" s="33">
        <v>462804</v>
      </c>
      <c r="B10" s="106" t="s">
        <v>2029</v>
      </c>
      <c r="C10" s="107" t="s">
        <v>2030</v>
      </c>
      <c r="D10" s="43" t="s">
        <v>202</v>
      </c>
      <c r="E10" s="42" t="s">
        <v>1343</v>
      </c>
      <c r="F10" s="108" t="s">
        <v>860</v>
      </c>
    </row>
    <row r="11" spans="1:6" s="35" customFormat="1" x14ac:dyDescent="0.3">
      <c r="A11" s="33">
        <v>538892</v>
      </c>
      <c r="B11" s="106" t="s">
        <v>2018</v>
      </c>
      <c r="C11" s="107" t="s">
        <v>2017</v>
      </c>
      <c r="D11" s="43" t="s">
        <v>76</v>
      </c>
      <c r="E11" s="42" t="s">
        <v>5</v>
      </c>
      <c r="F11" s="96">
        <v>43466</v>
      </c>
    </row>
    <row r="12" spans="1:6" s="35" customFormat="1" x14ac:dyDescent="0.3">
      <c r="A12" s="33">
        <v>508705</v>
      </c>
      <c r="B12" s="106" t="s">
        <v>2014</v>
      </c>
      <c r="C12" s="107" t="s">
        <v>2015</v>
      </c>
      <c r="D12" s="43" t="s">
        <v>202</v>
      </c>
      <c r="E12" s="42" t="s">
        <v>5</v>
      </c>
      <c r="F12" s="108" t="s">
        <v>860</v>
      </c>
    </row>
    <row r="13" spans="1:6" s="35" customFormat="1" x14ac:dyDescent="0.3">
      <c r="A13" s="33">
        <v>508713</v>
      </c>
      <c r="B13" s="106" t="s">
        <v>2012</v>
      </c>
      <c r="C13" s="107" t="s">
        <v>2013</v>
      </c>
      <c r="D13" s="43" t="s">
        <v>202</v>
      </c>
      <c r="E13" s="42" t="s">
        <v>5</v>
      </c>
      <c r="F13" s="108" t="s">
        <v>860</v>
      </c>
    </row>
    <row r="14" spans="1:6" s="35" customFormat="1" x14ac:dyDescent="0.3">
      <c r="A14" s="33">
        <v>483248</v>
      </c>
      <c r="B14" s="106" t="s">
        <v>2002</v>
      </c>
      <c r="C14" s="107" t="s">
        <v>2003</v>
      </c>
      <c r="D14" s="43" t="s">
        <v>202</v>
      </c>
      <c r="E14" s="42" t="s">
        <v>1343</v>
      </c>
      <c r="F14" s="108" t="s">
        <v>860</v>
      </c>
    </row>
    <row r="15" spans="1:6" s="35" customFormat="1" x14ac:dyDescent="0.3">
      <c r="A15" s="33">
        <v>460170</v>
      </c>
      <c r="B15" s="106" t="s">
        <v>2004</v>
      </c>
      <c r="C15" s="107" t="s">
        <v>2005</v>
      </c>
      <c r="D15" s="43" t="s">
        <v>202</v>
      </c>
      <c r="E15" s="42" t="s">
        <v>1343</v>
      </c>
      <c r="F15" s="108" t="s">
        <v>860</v>
      </c>
    </row>
    <row r="16" spans="1:6" s="35" customFormat="1" x14ac:dyDescent="0.3">
      <c r="A16" s="33">
        <v>177774</v>
      </c>
      <c r="B16" s="106" t="s">
        <v>2006</v>
      </c>
      <c r="C16" s="107" t="s">
        <v>2007</v>
      </c>
      <c r="D16" s="43" t="s">
        <v>202</v>
      </c>
      <c r="E16" s="42" t="s">
        <v>1343</v>
      </c>
      <c r="F16" s="108" t="s">
        <v>860</v>
      </c>
    </row>
    <row r="17" spans="1:6" s="35" customFormat="1" x14ac:dyDescent="0.3">
      <c r="A17" s="33">
        <v>450205</v>
      </c>
      <c r="B17" s="100" t="s">
        <v>1994</v>
      </c>
      <c r="C17" s="107" t="s">
        <v>1995</v>
      </c>
      <c r="D17" s="43" t="s">
        <v>202</v>
      </c>
      <c r="E17" s="42" t="s">
        <v>1343</v>
      </c>
      <c r="F17" s="108" t="s">
        <v>860</v>
      </c>
    </row>
    <row r="18" spans="1:6" s="35" customFormat="1" x14ac:dyDescent="0.3">
      <c r="A18" s="33">
        <v>522649</v>
      </c>
      <c r="B18" s="109" t="s">
        <v>1996</v>
      </c>
      <c r="C18" s="107" t="s">
        <v>1997</v>
      </c>
      <c r="D18" s="43" t="s">
        <v>202</v>
      </c>
      <c r="E18" s="42" t="s">
        <v>1343</v>
      </c>
      <c r="F18" s="108" t="s">
        <v>860</v>
      </c>
    </row>
    <row r="19" spans="1:6" s="35" customFormat="1" x14ac:dyDescent="0.3">
      <c r="A19" s="50">
        <v>192666</v>
      </c>
      <c r="B19" s="109" t="s">
        <v>2010</v>
      </c>
      <c r="C19" s="107" t="s">
        <v>2011</v>
      </c>
      <c r="D19" s="43" t="s">
        <v>202</v>
      </c>
      <c r="E19" s="42" t="s">
        <v>5</v>
      </c>
      <c r="F19" s="96">
        <v>43466</v>
      </c>
    </row>
    <row r="20" spans="1:6" s="35" customFormat="1" x14ac:dyDescent="0.3">
      <c r="A20" s="33">
        <v>370866</v>
      </c>
      <c r="B20" s="106" t="s">
        <v>1992</v>
      </c>
      <c r="C20" s="107" t="s">
        <v>1993</v>
      </c>
      <c r="D20" s="43" t="s">
        <v>202</v>
      </c>
      <c r="E20" s="42" t="s">
        <v>1343</v>
      </c>
      <c r="F20" s="96">
        <v>43466</v>
      </c>
    </row>
    <row r="21" spans="1:6" s="35" customFormat="1" x14ac:dyDescent="0.3">
      <c r="A21" s="33">
        <v>368811</v>
      </c>
      <c r="B21" s="109" t="s">
        <v>1998</v>
      </c>
      <c r="C21" s="107" t="s">
        <v>1999</v>
      </c>
      <c r="D21" s="43" t="s">
        <v>202</v>
      </c>
      <c r="E21" s="42" t="s">
        <v>1343</v>
      </c>
      <c r="F21" s="96">
        <v>43466</v>
      </c>
    </row>
    <row r="22" spans="1:6" s="35" customFormat="1" x14ac:dyDescent="0.3">
      <c r="A22" s="33">
        <v>631473</v>
      </c>
      <c r="B22" s="106" t="s">
        <v>2000</v>
      </c>
      <c r="C22" s="107" t="s">
        <v>2001</v>
      </c>
      <c r="D22" s="43" t="s">
        <v>496</v>
      </c>
      <c r="E22" s="42" t="s">
        <v>1343</v>
      </c>
      <c r="F22" s="96">
        <v>43466</v>
      </c>
    </row>
    <row r="23" spans="1:6" s="35" customFormat="1" x14ac:dyDescent="0.3">
      <c r="A23" s="33">
        <v>215632</v>
      </c>
      <c r="B23" s="106" t="s">
        <v>1990</v>
      </c>
      <c r="C23" s="107" t="s">
        <v>1991</v>
      </c>
      <c r="D23" s="43" t="s">
        <v>202</v>
      </c>
      <c r="E23" s="42" t="s">
        <v>5</v>
      </c>
      <c r="F23" s="96">
        <v>43466</v>
      </c>
    </row>
    <row r="24" spans="1:6" s="35" customFormat="1" x14ac:dyDescent="0.3">
      <c r="A24" s="33" t="s">
        <v>2008</v>
      </c>
      <c r="B24" s="106" t="s">
        <v>2009</v>
      </c>
      <c r="C24" s="107" t="s">
        <v>2016</v>
      </c>
      <c r="D24" s="43" t="s">
        <v>25</v>
      </c>
      <c r="E24" s="42" t="s">
        <v>5</v>
      </c>
      <c r="F24" s="96">
        <v>43466</v>
      </c>
    </row>
    <row r="25" spans="1:6" s="35" customFormat="1" x14ac:dyDescent="0.3">
      <c r="A25" s="33">
        <v>308718</v>
      </c>
      <c r="B25" s="10" t="s">
        <v>1986</v>
      </c>
      <c r="C25" s="103" t="s">
        <v>1987</v>
      </c>
      <c r="D25" s="43" t="s">
        <v>202</v>
      </c>
      <c r="E25" s="42" t="s">
        <v>5</v>
      </c>
      <c r="F25" s="47">
        <v>43459</v>
      </c>
    </row>
    <row r="26" spans="1:6" s="35" customFormat="1" x14ac:dyDescent="0.3">
      <c r="A26" s="33">
        <v>199216</v>
      </c>
      <c r="B26" s="10" t="s">
        <v>1980</v>
      </c>
      <c r="C26" s="103" t="s">
        <v>1981</v>
      </c>
      <c r="D26" s="43" t="s">
        <v>202</v>
      </c>
      <c r="E26" s="42" t="s">
        <v>1343</v>
      </c>
      <c r="F26" s="47">
        <v>43459</v>
      </c>
    </row>
    <row r="27" spans="1:6" s="35" customFormat="1" x14ac:dyDescent="0.3">
      <c r="A27" s="19">
        <v>192674</v>
      </c>
      <c r="B27" s="10" t="s">
        <v>1976</v>
      </c>
      <c r="C27" s="103" t="s">
        <v>1977</v>
      </c>
      <c r="D27" s="43" t="s">
        <v>202</v>
      </c>
      <c r="E27" s="42" t="s">
        <v>5</v>
      </c>
      <c r="F27" s="47">
        <v>43459</v>
      </c>
    </row>
    <row r="28" spans="1:6" s="35" customFormat="1" x14ac:dyDescent="0.3">
      <c r="A28" s="19">
        <v>399063</v>
      </c>
      <c r="B28" s="10" t="s">
        <v>1979</v>
      </c>
      <c r="C28" s="103" t="s">
        <v>1989</v>
      </c>
      <c r="D28" s="43" t="s">
        <v>25</v>
      </c>
      <c r="E28" s="42" t="s">
        <v>5</v>
      </c>
      <c r="F28" s="47">
        <v>43459</v>
      </c>
    </row>
    <row r="29" spans="1:6" s="35" customFormat="1" x14ac:dyDescent="0.3">
      <c r="A29" s="19">
        <v>625327</v>
      </c>
      <c r="B29" s="10" t="s">
        <v>1974</v>
      </c>
      <c r="C29" s="103" t="s">
        <v>1975</v>
      </c>
      <c r="D29" s="43" t="s">
        <v>76</v>
      </c>
      <c r="E29" s="42" t="s">
        <v>5</v>
      </c>
      <c r="F29" s="47">
        <v>43452</v>
      </c>
    </row>
    <row r="30" spans="1:6" s="35" customFormat="1" x14ac:dyDescent="0.3">
      <c r="A30" s="33">
        <v>226522</v>
      </c>
      <c r="B30" s="10" t="s">
        <v>1984</v>
      </c>
      <c r="C30" s="103" t="s">
        <v>1985</v>
      </c>
      <c r="D30" s="43" t="s">
        <v>202</v>
      </c>
      <c r="E30" s="42" t="s">
        <v>1343</v>
      </c>
      <c r="F30" s="47" t="s">
        <v>860</v>
      </c>
    </row>
    <row r="31" spans="1:6" s="35" customFormat="1" x14ac:dyDescent="0.3">
      <c r="A31" s="33">
        <v>541995</v>
      </c>
      <c r="B31" s="10" t="s">
        <v>1982</v>
      </c>
      <c r="C31" s="103" t="s">
        <v>1983</v>
      </c>
      <c r="D31" s="43" t="s">
        <v>202</v>
      </c>
      <c r="E31" s="42" t="s">
        <v>1343</v>
      </c>
      <c r="F31" s="47" t="s">
        <v>860</v>
      </c>
    </row>
    <row r="32" spans="1:6" s="35" customFormat="1" x14ac:dyDescent="0.3">
      <c r="A32" s="19">
        <v>415703</v>
      </c>
      <c r="B32" s="10" t="s">
        <v>1920</v>
      </c>
      <c r="C32" s="103" t="s">
        <v>1921</v>
      </c>
      <c r="D32" s="43" t="s">
        <v>25</v>
      </c>
      <c r="E32" s="31" t="s">
        <v>1942</v>
      </c>
      <c r="F32" s="47">
        <v>43445</v>
      </c>
    </row>
    <row r="33" spans="1:6" s="35" customFormat="1" x14ac:dyDescent="0.3">
      <c r="A33" s="19">
        <v>572313</v>
      </c>
      <c r="B33" s="10" t="s">
        <v>1978</v>
      </c>
      <c r="C33" s="103" t="s">
        <v>1988</v>
      </c>
      <c r="D33" s="43" t="s">
        <v>48</v>
      </c>
      <c r="E33" s="42" t="s">
        <v>1304</v>
      </c>
      <c r="F33" s="47">
        <v>43445</v>
      </c>
    </row>
    <row r="34" spans="1:6" s="35" customFormat="1" x14ac:dyDescent="0.3">
      <c r="A34" s="19">
        <v>435172</v>
      </c>
      <c r="B34" s="10" t="s">
        <v>1964</v>
      </c>
      <c r="C34" s="103" t="s">
        <v>1967</v>
      </c>
      <c r="D34" s="43" t="s">
        <v>106</v>
      </c>
      <c r="E34" s="31" t="s">
        <v>1963</v>
      </c>
      <c r="F34" s="47">
        <v>43438</v>
      </c>
    </row>
    <row r="35" spans="1:6" s="35" customFormat="1" x14ac:dyDescent="0.3">
      <c r="A35" s="19">
        <v>430389</v>
      </c>
      <c r="B35" s="10" t="s">
        <v>1972</v>
      </c>
      <c r="C35" s="103" t="s">
        <v>1973</v>
      </c>
      <c r="D35" s="43" t="s">
        <v>202</v>
      </c>
      <c r="E35" s="42" t="s">
        <v>1343</v>
      </c>
      <c r="F35" s="47" t="s">
        <v>860</v>
      </c>
    </row>
    <row r="36" spans="1:6" s="35" customFormat="1" x14ac:dyDescent="0.3">
      <c r="A36" s="19">
        <v>365205</v>
      </c>
      <c r="B36" s="10" t="s">
        <v>1970</v>
      </c>
      <c r="C36" s="103" t="s">
        <v>1971</v>
      </c>
      <c r="D36" s="43" t="s">
        <v>202</v>
      </c>
      <c r="E36" s="42" t="s">
        <v>1343</v>
      </c>
      <c r="F36" s="47" t="s">
        <v>860</v>
      </c>
    </row>
    <row r="37" spans="1:6" s="35" customFormat="1" x14ac:dyDescent="0.3">
      <c r="A37" s="19">
        <v>559971</v>
      </c>
      <c r="B37" s="10" t="s">
        <v>1969</v>
      </c>
      <c r="C37" s="103" t="s">
        <v>1968</v>
      </c>
      <c r="D37" s="43" t="s">
        <v>555</v>
      </c>
      <c r="E37" s="42" t="s">
        <v>5</v>
      </c>
      <c r="F37" s="47" t="s">
        <v>860</v>
      </c>
    </row>
    <row r="38" spans="1:6" s="35" customFormat="1" x14ac:dyDescent="0.3">
      <c r="A38" s="19">
        <v>498196</v>
      </c>
      <c r="B38" s="10" t="s">
        <v>1965</v>
      </c>
      <c r="C38" s="103" t="s">
        <v>1966</v>
      </c>
      <c r="D38" s="43" t="s">
        <v>37</v>
      </c>
      <c r="E38" s="42" t="s">
        <v>377</v>
      </c>
      <c r="F38" s="47" t="s">
        <v>860</v>
      </c>
    </row>
    <row r="39" spans="1:6" s="35" customFormat="1" x14ac:dyDescent="0.3">
      <c r="A39" s="19">
        <v>491852</v>
      </c>
      <c r="B39" s="10" t="s">
        <v>905</v>
      </c>
      <c r="C39" s="103" t="s">
        <v>1961</v>
      </c>
      <c r="D39" s="43" t="s">
        <v>202</v>
      </c>
      <c r="E39" s="42" t="s">
        <v>377</v>
      </c>
      <c r="F39" s="47" t="s">
        <v>860</v>
      </c>
    </row>
    <row r="40" spans="1:6" s="35" customFormat="1" x14ac:dyDescent="0.3">
      <c r="A40" s="19">
        <v>460295</v>
      </c>
      <c r="B40" s="10" t="s">
        <v>1959</v>
      </c>
      <c r="C40" s="103" t="s">
        <v>1962</v>
      </c>
      <c r="D40" s="43" t="s">
        <v>202</v>
      </c>
      <c r="E40" s="42" t="s">
        <v>377</v>
      </c>
      <c r="F40" s="47" t="s">
        <v>860</v>
      </c>
    </row>
    <row r="41" spans="1:6" s="35" customFormat="1" x14ac:dyDescent="0.3">
      <c r="A41" s="19">
        <v>483602</v>
      </c>
      <c r="B41" s="10" t="s">
        <v>1946</v>
      </c>
      <c r="C41" s="103" t="s">
        <v>1945</v>
      </c>
      <c r="D41" s="43" t="s">
        <v>202</v>
      </c>
      <c r="E41" s="42" t="s">
        <v>5</v>
      </c>
      <c r="F41" s="47" t="s">
        <v>860</v>
      </c>
    </row>
    <row r="42" spans="1:6" s="35" customFormat="1" x14ac:dyDescent="0.3">
      <c r="A42" s="19">
        <v>483560</v>
      </c>
      <c r="B42" s="10" t="s">
        <v>1943</v>
      </c>
      <c r="C42" s="103" t="s">
        <v>1944</v>
      </c>
      <c r="D42" s="43" t="s">
        <v>202</v>
      </c>
      <c r="E42" s="42" t="s">
        <v>5</v>
      </c>
      <c r="F42" s="47" t="s">
        <v>860</v>
      </c>
    </row>
    <row r="43" spans="1:6" s="35" customFormat="1" x14ac:dyDescent="0.3">
      <c r="A43" s="19">
        <v>480699</v>
      </c>
      <c r="B43" s="10" t="s">
        <v>1940</v>
      </c>
      <c r="C43" s="103" t="s">
        <v>1941</v>
      </c>
      <c r="D43" s="43" t="s">
        <v>25</v>
      </c>
      <c r="E43" s="42" t="s">
        <v>5</v>
      </c>
      <c r="F43" s="47" t="s">
        <v>860</v>
      </c>
    </row>
    <row r="44" spans="1:6" s="35" customFormat="1" x14ac:dyDescent="0.3">
      <c r="A44" s="19">
        <v>490391</v>
      </c>
      <c r="B44" s="10" t="s">
        <v>1928</v>
      </c>
      <c r="C44" s="103" t="s">
        <v>1926</v>
      </c>
      <c r="D44" s="43" t="s">
        <v>202</v>
      </c>
      <c r="E44" s="42" t="s">
        <v>377</v>
      </c>
      <c r="F44" s="47" t="s">
        <v>860</v>
      </c>
    </row>
    <row r="45" spans="1:6" s="35" customFormat="1" x14ac:dyDescent="0.3">
      <c r="A45" s="19">
        <v>490409</v>
      </c>
      <c r="B45" s="10" t="s">
        <v>1927</v>
      </c>
      <c r="C45" s="103" t="s">
        <v>1929</v>
      </c>
      <c r="D45" s="43" t="s">
        <v>202</v>
      </c>
      <c r="E45" s="42" t="s">
        <v>377</v>
      </c>
      <c r="F45" s="47" t="s">
        <v>860</v>
      </c>
    </row>
    <row r="46" spans="1:6" s="35" customFormat="1" x14ac:dyDescent="0.3">
      <c r="A46" s="19">
        <v>491589</v>
      </c>
      <c r="B46" s="10" t="s">
        <v>1930</v>
      </c>
      <c r="C46" s="103" t="s">
        <v>1931</v>
      </c>
      <c r="D46" s="43" t="s">
        <v>202</v>
      </c>
      <c r="E46" s="42" t="s">
        <v>377</v>
      </c>
      <c r="F46" s="47" t="s">
        <v>860</v>
      </c>
    </row>
    <row r="47" spans="1:6" s="35" customFormat="1" x14ac:dyDescent="0.3">
      <c r="A47" s="19">
        <v>493395</v>
      </c>
      <c r="B47" s="10" t="s">
        <v>1933</v>
      </c>
      <c r="C47" s="103" t="s">
        <v>1932</v>
      </c>
      <c r="D47" s="43" t="s">
        <v>202</v>
      </c>
      <c r="E47" s="42" t="s">
        <v>377</v>
      </c>
      <c r="F47" s="47" t="s">
        <v>860</v>
      </c>
    </row>
    <row r="48" spans="1:6" s="35" customFormat="1" x14ac:dyDescent="0.3">
      <c r="A48" s="19">
        <v>461632</v>
      </c>
      <c r="B48" s="10" t="s">
        <v>1918</v>
      </c>
      <c r="C48" s="103" t="s">
        <v>1919</v>
      </c>
      <c r="D48" s="43" t="s">
        <v>25</v>
      </c>
      <c r="E48" s="42" t="s">
        <v>377</v>
      </c>
      <c r="F48" s="47" t="s">
        <v>860</v>
      </c>
    </row>
    <row r="49" spans="1:6" s="35" customFormat="1" x14ac:dyDescent="0.3">
      <c r="A49" s="19">
        <v>482356</v>
      </c>
      <c r="B49" s="10" t="s">
        <v>1900</v>
      </c>
      <c r="C49" s="103" t="s">
        <v>1907</v>
      </c>
      <c r="D49" s="43" t="s">
        <v>25</v>
      </c>
      <c r="E49" s="42" t="s">
        <v>1908</v>
      </c>
      <c r="F49" s="47" t="s">
        <v>860</v>
      </c>
    </row>
    <row r="50" spans="1:6" s="35" customFormat="1" x14ac:dyDescent="0.3">
      <c r="A50" s="19">
        <v>400119</v>
      </c>
      <c r="B50" s="10" t="s">
        <v>1957</v>
      </c>
      <c r="C50" s="103" t="s">
        <v>1956</v>
      </c>
      <c r="D50" s="43" t="s">
        <v>202</v>
      </c>
      <c r="E50" s="42" t="s">
        <v>377</v>
      </c>
      <c r="F50" s="47">
        <v>43431</v>
      </c>
    </row>
    <row r="51" spans="1:6" s="35" customFormat="1" x14ac:dyDescent="0.3">
      <c r="A51" s="19">
        <v>490383</v>
      </c>
      <c r="B51" s="10" t="s">
        <v>1958</v>
      </c>
      <c r="C51" s="103" t="s">
        <v>1955</v>
      </c>
      <c r="D51" s="43" t="s">
        <v>202</v>
      </c>
      <c r="E51" s="42" t="s">
        <v>377</v>
      </c>
      <c r="F51" s="47">
        <v>43431</v>
      </c>
    </row>
    <row r="52" spans="1:6" s="35" customFormat="1" x14ac:dyDescent="0.3">
      <c r="A52" s="19">
        <v>560797</v>
      </c>
      <c r="B52" s="10" t="s">
        <v>1949</v>
      </c>
      <c r="C52" s="103" t="s">
        <v>1951</v>
      </c>
      <c r="D52" s="43" t="s">
        <v>25</v>
      </c>
      <c r="E52" s="42" t="s">
        <v>5</v>
      </c>
      <c r="F52" s="47">
        <v>43431</v>
      </c>
    </row>
    <row r="53" spans="1:6" s="35" customFormat="1" x14ac:dyDescent="0.3">
      <c r="A53" s="19">
        <v>560847</v>
      </c>
      <c r="B53" s="10" t="s">
        <v>1950</v>
      </c>
      <c r="C53" s="103" t="s">
        <v>1952</v>
      </c>
      <c r="D53" s="43" t="s">
        <v>25</v>
      </c>
      <c r="E53" s="42" t="s">
        <v>5</v>
      </c>
      <c r="F53" s="47">
        <v>43431</v>
      </c>
    </row>
    <row r="54" spans="1:6" s="35" customFormat="1" x14ac:dyDescent="0.3">
      <c r="A54" s="19">
        <v>576835</v>
      </c>
      <c r="B54" s="10" t="s">
        <v>1948</v>
      </c>
      <c r="C54" s="103" t="s">
        <v>1953</v>
      </c>
      <c r="D54" s="43" t="s">
        <v>25</v>
      </c>
      <c r="E54" s="42" t="s">
        <v>5</v>
      </c>
      <c r="F54" s="47">
        <v>43431</v>
      </c>
    </row>
    <row r="55" spans="1:6" s="35" customFormat="1" x14ac:dyDescent="0.3">
      <c r="A55" s="19">
        <v>553958</v>
      </c>
      <c r="B55" s="10" t="s">
        <v>1947</v>
      </c>
      <c r="C55" s="103" t="s">
        <v>1954</v>
      </c>
      <c r="D55" s="43" t="s">
        <v>124</v>
      </c>
      <c r="E55" s="42" t="s">
        <v>5</v>
      </c>
      <c r="F55" s="47">
        <v>43431</v>
      </c>
    </row>
    <row r="56" spans="1:6" s="35" customFormat="1" ht="27.95" x14ac:dyDescent="0.3">
      <c r="A56" s="19">
        <v>22384</v>
      </c>
      <c r="B56" s="10" t="s">
        <v>1871</v>
      </c>
      <c r="C56" s="103" t="s">
        <v>1872</v>
      </c>
      <c r="D56" s="43" t="s">
        <v>202</v>
      </c>
      <c r="E56" s="55" t="s">
        <v>1960</v>
      </c>
      <c r="F56" s="47">
        <v>43424</v>
      </c>
    </row>
    <row r="57" spans="1:6" s="35" customFormat="1" x14ac:dyDescent="0.3">
      <c r="A57" s="19">
        <v>274662</v>
      </c>
      <c r="B57" s="10" t="s">
        <v>1898</v>
      </c>
      <c r="C57" s="103" t="s">
        <v>1902</v>
      </c>
      <c r="D57" s="43" t="s">
        <v>202</v>
      </c>
      <c r="E57" s="42" t="s">
        <v>5</v>
      </c>
      <c r="F57" s="47" t="s">
        <v>860</v>
      </c>
    </row>
    <row r="58" spans="1:6" s="35" customFormat="1" ht="27.95" x14ac:dyDescent="0.3">
      <c r="A58" s="19">
        <v>111294</v>
      </c>
      <c r="B58" s="10" t="s">
        <v>1888</v>
      </c>
      <c r="C58" s="103" t="s">
        <v>1889</v>
      </c>
      <c r="D58" s="43" t="s">
        <v>759</v>
      </c>
      <c r="E58" s="55" t="s">
        <v>1890</v>
      </c>
      <c r="F58" s="47" t="s">
        <v>860</v>
      </c>
    </row>
    <row r="59" spans="1:6" s="35" customFormat="1" x14ac:dyDescent="0.3">
      <c r="A59" s="19">
        <v>369678</v>
      </c>
      <c r="B59" s="10" t="s">
        <v>1888</v>
      </c>
      <c r="C59" s="103" t="s">
        <v>1891</v>
      </c>
      <c r="D59" s="43" t="s">
        <v>496</v>
      </c>
      <c r="E59" s="42" t="s">
        <v>1892</v>
      </c>
      <c r="F59" s="47" t="s">
        <v>860</v>
      </c>
    </row>
    <row r="60" spans="1:6" s="35" customFormat="1" ht="27.95" x14ac:dyDescent="0.3">
      <c r="A60" s="19">
        <v>570143</v>
      </c>
      <c r="B60" s="10" t="s">
        <v>1878</v>
      </c>
      <c r="C60" s="103" t="s">
        <v>1877</v>
      </c>
      <c r="D60" s="43" t="s">
        <v>202</v>
      </c>
      <c r="E60" s="55" t="s">
        <v>1879</v>
      </c>
      <c r="F60" s="47" t="s">
        <v>860</v>
      </c>
    </row>
    <row r="61" spans="1:6" s="35" customFormat="1" x14ac:dyDescent="0.3">
      <c r="A61" s="19">
        <v>371575</v>
      </c>
      <c r="B61" s="10" t="s">
        <v>1874</v>
      </c>
      <c r="C61" s="103" t="s">
        <v>1875</v>
      </c>
      <c r="D61" s="43" t="s">
        <v>202</v>
      </c>
      <c r="E61" s="42" t="s">
        <v>377</v>
      </c>
      <c r="F61" s="47" t="s">
        <v>860</v>
      </c>
    </row>
    <row r="62" spans="1:6" s="35" customFormat="1" x14ac:dyDescent="0.3">
      <c r="A62" s="19">
        <v>457390</v>
      </c>
      <c r="B62" s="10" t="s">
        <v>1873</v>
      </c>
      <c r="C62" s="103" t="s">
        <v>1893</v>
      </c>
      <c r="D62" s="43" t="s">
        <v>202</v>
      </c>
      <c r="E62" s="42" t="s">
        <v>377</v>
      </c>
      <c r="F62" s="47" t="s">
        <v>860</v>
      </c>
    </row>
    <row r="63" spans="1:6" s="35" customFormat="1" x14ac:dyDescent="0.3">
      <c r="A63" s="19">
        <v>488999</v>
      </c>
      <c r="B63" s="10" t="s">
        <v>1934</v>
      </c>
      <c r="C63" s="103" t="s">
        <v>1935</v>
      </c>
      <c r="D63" s="43" t="s">
        <v>202</v>
      </c>
      <c r="E63" s="42" t="s">
        <v>377</v>
      </c>
      <c r="F63" s="47">
        <v>43418</v>
      </c>
    </row>
    <row r="64" spans="1:6" s="35" customFormat="1" x14ac:dyDescent="0.3">
      <c r="A64" s="19">
        <v>489047</v>
      </c>
      <c r="B64" s="10" t="s">
        <v>1936</v>
      </c>
      <c r="C64" s="103" t="s">
        <v>1937</v>
      </c>
      <c r="D64" s="43" t="s">
        <v>202</v>
      </c>
      <c r="E64" s="42" t="s">
        <v>377</v>
      </c>
      <c r="F64" s="47">
        <v>43418</v>
      </c>
    </row>
    <row r="65" spans="1:6" s="35" customFormat="1" x14ac:dyDescent="0.3">
      <c r="A65" s="19">
        <v>489286</v>
      </c>
      <c r="B65" s="10" t="s">
        <v>1938</v>
      </c>
      <c r="C65" s="103" t="s">
        <v>1939</v>
      </c>
      <c r="D65" s="43" t="s">
        <v>202</v>
      </c>
      <c r="E65" s="42" t="s">
        <v>377</v>
      </c>
      <c r="F65" s="47">
        <v>43418</v>
      </c>
    </row>
    <row r="66" spans="1:6" s="35" customFormat="1" x14ac:dyDescent="0.3">
      <c r="A66" s="19">
        <v>439950</v>
      </c>
      <c r="B66" s="10" t="s">
        <v>1922</v>
      </c>
      <c r="C66" s="103" t="s">
        <v>1924</v>
      </c>
      <c r="D66" s="43" t="s">
        <v>29</v>
      </c>
      <c r="E66" s="105" t="s">
        <v>1923</v>
      </c>
      <c r="F66" s="47">
        <v>43418</v>
      </c>
    </row>
    <row r="67" spans="1:6" s="35" customFormat="1" x14ac:dyDescent="0.3">
      <c r="A67" s="19">
        <v>420356</v>
      </c>
      <c r="B67" s="10" t="s">
        <v>1911</v>
      </c>
      <c r="C67" s="103" t="s">
        <v>1917</v>
      </c>
      <c r="D67" s="43" t="s">
        <v>25</v>
      </c>
      <c r="E67" s="42" t="s">
        <v>5</v>
      </c>
      <c r="F67" s="47">
        <v>43418</v>
      </c>
    </row>
    <row r="68" spans="1:6" s="35" customFormat="1" x14ac:dyDescent="0.3">
      <c r="A68" s="19">
        <v>286526</v>
      </c>
      <c r="B68" s="10" t="s">
        <v>1914</v>
      </c>
      <c r="C68" s="103" t="s">
        <v>1915</v>
      </c>
      <c r="D68" s="43" t="s">
        <v>1916</v>
      </c>
      <c r="E68" s="42" t="s">
        <v>5</v>
      </c>
      <c r="F68" s="47">
        <v>43418</v>
      </c>
    </row>
    <row r="69" spans="1:6" s="35" customFormat="1" x14ac:dyDescent="0.3">
      <c r="A69" s="19">
        <v>32516</v>
      </c>
      <c r="B69" s="10" t="s">
        <v>1909</v>
      </c>
      <c r="C69" s="103" t="s">
        <v>1913</v>
      </c>
      <c r="D69" s="43" t="s">
        <v>106</v>
      </c>
      <c r="E69" s="42" t="s">
        <v>5</v>
      </c>
      <c r="F69" s="47">
        <v>43418</v>
      </c>
    </row>
    <row r="70" spans="1:6" s="35" customFormat="1" x14ac:dyDescent="0.3">
      <c r="A70" s="19">
        <v>53025</v>
      </c>
      <c r="B70" s="10" t="s">
        <v>1910</v>
      </c>
      <c r="C70" s="103" t="s">
        <v>1912</v>
      </c>
      <c r="D70" s="43" t="s">
        <v>106</v>
      </c>
      <c r="E70" s="42" t="s">
        <v>5</v>
      </c>
      <c r="F70" s="47">
        <v>43418</v>
      </c>
    </row>
    <row r="71" spans="1:6" s="35" customFormat="1" x14ac:dyDescent="0.3">
      <c r="A71" s="43">
        <v>694448</v>
      </c>
      <c r="B71" s="42" t="s">
        <v>1925</v>
      </c>
      <c r="C71" s="34">
        <v>72890000088</v>
      </c>
      <c r="D71" s="43" t="s">
        <v>37</v>
      </c>
      <c r="E71" s="42" t="s">
        <v>377</v>
      </c>
      <c r="F71" s="47">
        <v>43410</v>
      </c>
    </row>
    <row r="72" spans="1:6" s="35" customFormat="1" x14ac:dyDescent="0.3">
      <c r="A72" s="43">
        <v>569459</v>
      </c>
      <c r="B72" s="42" t="s">
        <v>1897</v>
      </c>
      <c r="C72" s="34" t="s">
        <v>1896</v>
      </c>
      <c r="D72" s="43" t="s">
        <v>98</v>
      </c>
      <c r="E72" s="42" t="s">
        <v>5</v>
      </c>
      <c r="F72" s="47">
        <v>43410</v>
      </c>
    </row>
    <row r="73" spans="1:6" s="35" customFormat="1" x14ac:dyDescent="0.3">
      <c r="A73" s="43">
        <v>436899</v>
      </c>
      <c r="B73" s="42" t="s">
        <v>1903</v>
      </c>
      <c r="C73" s="34" t="s">
        <v>1904</v>
      </c>
      <c r="D73" s="43" t="s">
        <v>76</v>
      </c>
      <c r="E73" s="42" t="s">
        <v>5</v>
      </c>
      <c r="F73" s="47">
        <v>43410</v>
      </c>
    </row>
    <row r="74" spans="1:6" s="35" customFormat="1" x14ac:dyDescent="0.3">
      <c r="A74" s="43">
        <v>576868</v>
      </c>
      <c r="B74" s="42" t="s">
        <v>1905</v>
      </c>
      <c r="C74" s="34" t="s">
        <v>1906</v>
      </c>
      <c r="D74" s="43" t="s">
        <v>1013</v>
      </c>
      <c r="E74" s="42" t="s">
        <v>5</v>
      </c>
      <c r="F74" s="47">
        <v>43410</v>
      </c>
    </row>
    <row r="75" spans="1:6" s="35" customFormat="1" x14ac:dyDescent="0.3">
      <c r="A75" s="19">
        <v>400101</v>
      </c>
      <c r="B75" s="10" t="s">
        <v>1899</v>
      </c>
      <c r="C75" s="103" t="s">
        <v>1901</v>
      </c>
      <c r="D75" s="43" t="s">
        <v>202</v>
      </c>
      <c r="E75" s="42" t="s">
        <v>377</v>
      </c>
      <c r="F75" s="47">
        <v>43396</v>
      </c>
    </row>
    <row r="76" spans="1:6" s="35" customFormat="1" x14ac:dyDescent="0.3">
      <c r="A76" s="43">
        <v>467084</v>
      </c>
      <c r="B76" s="42" t="s">
        <v>1895</v>
      </c>
      <c r="C76" s="34" t="s">
        <v>1882</v>
      </c>
      <c r="D76" s="43" t="s">
        <v>76</v>
      </c>
      <c r="E76" s="42" t="s">
        <v>5</v>
      </c>
      <c r="F76" s="47">
        <v>43396</v>
      </c>
    </row>
    <row r="77" spans="1:6" s="35" customFormat="1" x14ac:dyDescent="0.3">
      <c r="A77" s="43">
        <v>574400</v>
      </c>
      <c r="B77" s="42" t="s">
        <v>1885</v>
      </c>
      <c r="C77" s="34" t="s">
        <v>1886</v>
      </c>
      <c r="D77" s="43" t="s">
        <v>25</v>
      </c>
      <c r="E77" s="21" t="s">
        <v>86</v>
      </c>
      <c r="F77" s="47">
        <v>43396</v>
      </c>
    </row>
    <row r="78" spans="1:6" s="35" customFormat="1" x14ac:dyDescent="0.3">
      <c r="A78" s="43">
        <v>428854</v>
      </c>
      <c r="B78" s="42" t="s">
        <v>1884</v>
      </c>
      <c r="C78" s="34" t="s">
        <v>1887</v>
      </c>
      <c r="D78" s="43" t="s">
        <v>202</v>
      </c>
      <c r="E78" s="42" t="s">
        <v>5</v>
      </c>
      <c r="F78" s="47">
        <v>43396</v>
      </c>
    </row>
    <row r="79" spans="1:6" s="35" customFormat="1" x14ac:dyDescent="0.3">
      <c r="A79" s="43">
        <v>616276</v>
      </c>
      <c r="B79" s="42" t="s">
        <v>1864</v>
      </c>
      <c r="C79" s="34" t="s">
        <v>1865</v>
      </c>
      <c r="D79" s="43" t="s">
        <v>496</v>
      </c>
      <c r="E79" s="42" t="s">
        <v>1866</v>
      </c>
      <c r="F79" s="47">
        <v>43396</v>
      </c>
    </row>
    <row r="80" spans="1:6" s="35" customFormat="1" ht="27.95" x14ac:dyDescent="0.3">
      <c r="A80" s="19">
        <v>260372</v>
      </c>
      <c r="B80" s="10" t="s">
        <v>1388</v>
      </c>
      <c r="C80" s="103" t="s">
        <v>1880</v>
      </c>
      <c r="D80" s="43" t="s">
        <v>202</v>
      </c>
      <c r="E80" s="55" t="s">
        <v>1881</v>
      </c>
      <c r="F80" s="47">
        <v>43389</v>
      </c>
    </row>
    <row r="81" spans="1:6" s="35" customFormat="1" x14ac:dyDescent="0.3">
      <c r="A81" s="19">
        <v>467084</v>
      </c>
      <c r="B81" s="10" t="s">
        <v>1876</v>
      </c>
      <c r="C81" s="103" t="s">
        <v>1882</v>
      </c>
      <c r="D81" s="43" t="s">
        <v>76</v>
      </c>
      <c r="E81" s="42" t="s">
        <v>5</v>
      </c>
      <c r="F81" s="47">
        <v>43389</v>
      </c>
    </row>
    <row r="82" spans="1:6" s="35" customFormat="1" x14ac:dyDescent="0.3">
      <c r="A82" s="19">
        <v>197152</v>
      </c>
      <c r="B82" s="10" t="s">
        <v>1883</v>
      </c>
      <c r="C82" s="103" t="s">
        <v>1698</v>
      </c>
      <c r="D82" s="43" t="s">
        <v>202</v>
      </c>
      <c r="E82" s="42" t="s">
        <v>5</v>
      </c>
      <c r="F82" s="47">
        <v>43389</v>
      </c>
    </row>
    <row r="83" spans="1:6" s="35" customFormat="1" x14ac:dyDescent="0.3">
      <c r="A83" s="19">
        <v>921478</v>
      </c>
      <c r="B83" s="10" t="s">
        <v>1849</v>
      </c>
      <c r="C83" s="103" t="s">
        <v>1854</v>
      </c>
      <c r="D83" s="43" t="s">
        <v>37</v>
      </c>
      <c r="E83" s="9" t="s">
        <v>1848</v>
      </c>
      <c r="F83" s="47">
        <v>43389</v>
      </c>
    </row>
    <row r="84" spans="1:6" s="35" customFormat="1" x14ac:dyDescent="0.3">
      <c r="A84" s="19">
        <v>909994</v>
      </c>
      <c r="B84" s="10" t="s">
        <v>1862</v>
      </c>
      <c r="C84" s="103" t="s">
        <v>1863</v>
      </c>
      <c r="D84" s="43" t="s">
        <v>106</v>
      </c>
      <c r="E84" s="42" t="s">
        <v>5</v>
      </c>
      <c r="F84" s="47">
        <v>43383</v>
      </c>
    </row>
    <row r="85" spans="1:6" s="35" customFormat="1" x14ac:dyDescent="0.3">
      <c r="A85" s="19">
        <v>384750</v>
      </c>
      <c r="B85" s="10" t="s">
        <v>1858</v>
      </c>
      <c r="C85" s="103" t="s">
        <v>1870</v>
      </c>
      <c r="D85" s="43" t="s">
        <v>25</v>
      </c>
      <c r="E85" s="42" t="s">
        <v>5</v>
      </c>
      <c r="F85" s="47">
        <v>43383</v>
      </c>
    </row>
    <row r="86" spans="1:6" s="35" customFormat="1" x14ac:dyDescent="0.3">
      <c r="A86" s="19">
        <v>479030</v>
      </c>
      <c r="B86" s="10" t="s">
        <v>1859</v>
      </c>
      <c r="C86" s="103" t="s">
        <v>1869</v>
      </c>
      <c r="D86" s="43" t="s">
        <v>25</v>
      </c>
      <c r="E86" s="42" t="s">
        <v>5</v>
      </c>
      <c r="F86" s="47">
        <v>43383</v>
      </c>
    </row>
    <row r="87" spans="1:6" s="35" customFormat="1" x14ac:dyDescent="0.3">
      <c r="A87" s="19">
        <v>491621</v>
      </c>
      <c r="B87" s="10" t="s">
        <v>1860</v>
      </c>
      <c r="C87" s="103" t="s">
        <v>1868</v>
      </c>
      <c r="D87" s="43" t="s">
        <v>25</v>
      </c>
      <c r="E87" s="42" t="s">
        <v>5</v>
      </c>
      <c r="F87" s="47">
        <v>43383</v>
      </c>
    </row>
    <row r="88" spans="1:6" s="35" customFormat="1" x14ac:dyDescent="0.3">
      <c r="A88" s="19">
        <v>492058</v>
      </c>
      <c r="B88" s="10" t="s">
        <v>1861</v>
      </c>
      <c r="C88" s="103" t="s">
        <v>1867</v>
      </c>
      <c r="D88" s="43" t="s">
        <v>25</v>
      </c>
      <c r="E88" s="42" t="s">
        <v>5</v>
      </c>
      <c r="F88" s="47">
        <v>43383</v>
      </c>
    </row>
    <row r="89" spans="1:6" s="35" customFormat="1" x14ac:dyDescent="0.3">
      <c r="A89" s="33">
        <v>563338</v>
      </c>
      <c r="B89" s="42" t="s">
        <v>1855</v>
      </c>
      <c r="C89" s="34" t="s">
        <v>1856</v>
      </c>
      <c r="D89" s="43" t="s">
        <v>202</v>
      </c>
      <c r="E89" s="42" t="s">
        <v>1857</v>
      </c>
      <c r="F89" s="47">
        <v>43375</v>
      </c>
    </row>
    <row r="90" spans="1:6" s="35" customFormat="1" x14ac:dyDescent="0.3">
      <c r="A90" s="43">
        <v>307330</v>
      </c>
      <c r="B90" s="42" t="s">
        <v>1851</v>
      </c>
      <c r="C90" s="34" t="s">
        <v>1850</v>
      </c>
      <c r="D90" s="43" t="s">
        <v>37</v>
      </c>
      <c r="E90" s="31" t="s">
        <v>1852</v>
      </c>
      <c r="F90" s="47">
        <v>43375</v>
      </c>
    </row>
    <row r="91" spans="1:6" s="35" customFormat="1" x14ac:dyDescent="0.3">
      <c r="A91" s="43">
        <v>158642</v>
      </c>
      <c r="B91" s="42" t="s">
        <v>1847</v>
      </c>
      <c r="C91" s="34" t="s">
        <v>1853</v>
      </c>
      <c r="D91" s="43" t="s">
        <v>202</v>
      </c>
      <c r="E91" s="42" t="s">
        <v>5</v>
      </c>
      <c r="F91" s="47">
        <v>43375</v>
      </c>
    </row>
    <row r="92" spans="1:6" s="35" customFormat="1" x14ac:dyDescent="0.3">
      <c r="A92" s="19">
        <v>155051</v>
      </c>
      <c r="B92" s="10" t="s">
        <v>1762</v>
      </c>
      <c r="C92" s="103" t="s">
        <v>1761</v>
      </c>
      <c r="D92" s="43" t="s">
        <v>202</v>
      </c>
      <c r="E92" s="42" t="s">
        <v>1760</v>
      </c>
      <c r="F92" s="47">
        <v>43368</v>
      </c>
    </row>
    <row r="93" spans="1:6" s="35" customFormat="1" x14ac:dyDescent="0.3">
      <c r="A93" s="19">
        <v>498980</v>
      </c>
      <c r="B93" s="10" t="s">
        <v>1835</v>
      </c>
      <c r="C93" s="103" t="s">
        <v>1846</v>
      </c>
      <c r="D93" s="43" t="s">
        <v>202</v>
      </c>
      <c r="E93" s="42" t="s">
        <v>377</v>
      </c>
      <c r="F93" s="47" t="s">
        <v>860</v>
      </c>
    </row>
    <row r="94" spans="1:6" s="35" customFormat="1" x14ac:dyDescent="0.3">
      <c r="A94" s="19">
        <v>519843</v>
      </c>
      <c r="B94" s="10" t="s">
        <v>1836</v>
      </c>
      <c r="C94" s="103" t="s">
        <v>1845</v>
      </c>
      <c r="D94" s="43" t="s">
        <v>202</v>
      </c>
      <c r="E94" s="42" t="s">
        <v>377</v>
      </c>
      <c r="F94" s="47" t="s">
        <v>860</v>
      </c>
    </row>
    <row r="95" spans="1:6" s="35" customFormat="1" x14ac:dyDescent="0.3">
      <c r="A95" s="19">
        <v>519793</v>
      </c>
      <c r="B95" s="10" t="s">
        <v>1837</v>
      </c>
      <c r="C95" s="103" t="s">
        <v>1844</v>
      </c>
      <c r="D95" s="43" t="s">
        <v>202</v>
      </c>
      <c r="E95" s="42" t="s">
        <v>377</v>
      </c>
      <c r="F95" s="47" t="s">
        <v>860</v>
      </c>
    </row>
    <row r="96" spans="1:6" s="35" customFormat="1" x14ac:dyDescent="0.3">
      <c r="A96" s="19">
        <v>293134</v>
      </c>
      <c r="B96" s="10" t="s">
        <v>1838</v>
      </c>
      <c r="C96" s="103" t="s">
        <v>1843</v>
      </c>
      <c r="D96" s="43" t="s">
        <v>202</v>
      </c>
      <c r="E96" s="42" t="s">
        <v>377</v>
      </c>
      <c r="F96" s="47" t="s">
        <v>860</v>
      </c>
    </row>
    <row r="97" spans="1:6" s="35" customFormat="1" x14ac:dyDescent="0.3">
      <c r="A97" s="19">
        <v>370080</v>
      </c>
      <c r="B97" s="10" t="s">
        <v>1839</v>
      </c>
      <c r="C97" s="103" t="s">
        <v>1842</v>
      </c>
      <c r="D97" s="43" t="s">
        <v>202</v>
      </c>
      <c r="E97" s="42" t="s">
        <v>377</v>
      </c>
      <c r="F97" s="47" t="s">
        <v>860</v>
      </c>
    </row>
    <row r="98" spans="1:6" s="35" customFormat="1" x14ac:dyDescent="0.3">
      <c r="A98" s="19">
        <v>415299</v>
      </c>
      <c r="B98" s="10" t="s">
        <v>1823</v>
      </c>
      <c r="C98" s="103" t="s">
        <v>1828</v>
      </c>
      <c r="D98" s="43" t="s">
        <v>202</v>
      </c>
      <c r="E98" s="42" t="s">
        <v>5</v>
      </c>
      <c r="F98" s="47">
        <v>43368</v>
      </c>
    </row>
    <row r="99" spans="1:6" s="35" customFormat="1" x14ac:dyDescent="0.3">
      <c r="A99" s="19">
        <v>319657</v>
      </c>
      <c r="B99" s="10" t="s">
        <v>1834</v>
      </c>
      <c r="C99" s="103" t="s">
        <v>1841</v>
      </c>
      <c r="D99" s="43" t="s">
        <v>202</v>
      </c>
      <c r="E99" s="42" t="s">
        <v>377</v>
      </c>
      <c r="F99" s="47">
        <v>43368</v>
      </c>
    </row>
    <row r="100" spans="1:6" s="35" customFormat="1" x14ac:dyDescent="0.3">
      <c r="A100" s="19">
        <v>293183</v>
      </c>
      <c r="B100" s="10" t="s">
        <v>1833</v>
      </c>
      <c r="C100" s="103" t="s">
        <v>1840</v>
      </c>
      <c r="D100" s="43" t="s">
        <v>37</v>
      </c>
      <c r="E100" s="42" t="s">
        <v>5</v>
      </c>
      <c r="F100" s="47">
        <v>43361</v>
      </c>
    </row>
    <row r="101" spans="1:6" s="35" customFormat="1" x14ac:dyDescent="0.3">
      <c r="A101" s="19">
        <v>562678</v>
      </c>
      <c r="B101" s="10" t="s">
        <v>1824</v>
      </c>
      <c r="C101" s="103" t="s">
        <v>1827</v>
      </c>
      <c r="D101" s="43" t="s">
        <v>1301</v>
      </c>
      <c r="E101" s="42" t="s">
        <v>377</v>
      </c>
      <c r="F101" s="47" t="s">
        <v>860</v>
      </c>
    </row>
    <row r="102" spans="1:6" s="35" customFormat="1" x14ac:dyDescent="0.3">
      <c r="A102" s="19">
        <v>562710</v>
      </c>
      <c r="B102" s="10" t="s">
        <v>1825</v>
      </c>
      <c r="C102" s="103" t="s">
        <v>1826</v>
      </c>
      <c r="D102" s="43" t="s">
        <v>1301</v>
      </c>
      <c r="E102" s="42" t="s">
        <v>377</v>
      </c>
      <c r="F102" s="47" t="s">
        <v>860</v>
      </c>
    </row>
    <row r="103" spans="1:6" s="35" customFormat="1" x14ac:dyDescent="0.3">
      <c r="A103" s="19">
        <v>358754</v>
      </c>
      <c r="B103" s="10" t="s">
        <v>1822</v>
      </c>
      <c r="C103" s="103" t="s">
        <v>1821</v>
      </c>
      <c r="D103" s="43" t="s">
        <v>202</v>
      </c>
      <c r="E103" s="42" t="s">
        <v>377</v>
      </c>
      <c r="F103" s="47" t="s">
        <v>860</v>
      </c>
    </row>
    <row r="104" spans="1:6" s="35" customFormat="1" x14ac:dyDescent="0.3">
      <c r="A104" s="19">
        <v>550830</v>
      </c>
      <c r="B104" s="10" t="s">
        <v>1817</v>
      </c>
      <c r="C104" s="103" t="s">
        <v>1819</v>
      </c>
      <c r="D104" s="43" t="s">
        <v>1818</v>
      </c>
      <c r="E104" s="42" t="s">
        <v>1816</v>
      </c>
      <c r="F104" s="47">
        <v>43361</v>
      </c>
    </row>
    <row r="105" spans="1:6" s="35" customFormat="1" x14ac:dyDescent="0.3">
      <c r="A105" s="19">
        <v>455840</v>
      </c>
      <c r="B105" s="10" t="s">
        <v>1803</v>
      </c>
      <c r="C105" s="103" t="s">
        <v>1820</v>
      </c>
      <c r="D105" s="43" t="s">
        <v>25</v>
      </c>
      <c r="E105" s="42" t="s">
        <v>377</v>
      </c>
      <c r="F105" s="47">
        <v>43361</v>
      </c>
    </row>
    <row r="106" spans="1:6" s="35" customFormat="1" x14ac:dyDescent="0.3">
      <c r="A106" s="19">
        <v>279166</v>
      </c>
      <c r="B106" s="10" t="s">
        <v>1802</v>
      </c>
      <c r="C106" s="103" t="s">
        <v>1815</v>
      </c>
      <c r="D106" s="43" t="s">
        <v>25</v>
      </c>
      <c r="E106" s="42" t="s">
        <v>377</v>
      </c>
      <c r="F106" s="47">
        <v>43361</v>
      </c>
    </row>
    <row r="107" spans="1:6" s="35" customFormat="1" x14ac:dyDescent="0.3">
      <c r="A107" s="19">
        <v>136010</v>
      </c>
      <c r="B107" s="10" t="s">
        <v>1807</v>
      </c>
      <c r="C107" s="103" t="s">
        <v>1808</v>
      </c>
      <c r="D107" s="43" t="s">
        <v>202</v>
      </c>
      <c r="E107" s="42" t="s">
        <v>377</v>
      </c>
      <c r="F107" s="47" t="s">
        <v>860</v>
      </c>
    </row>
    <row r="108" spans="1:6" s="35" customFormat="1" x14ac:dyDescent="0.3">
      <c r="A108" s="19">
        <v>523126</v>
      </c>
      <c r="B108" s="10" t="s">
        <v>1805</v>
      </c>
      <c r="C108" s="103" t="s">
        <v>1806</v>
      </c>
      <c r="D108" s="43" t="s">
        <v>25</v>
      </c>
      <c r="E108" s="42" t="s">
        <v>5</v>
      </c>
      <c r="F108" s="47">
        <v>43361</v>
      </c>
    </row>
    <row r="109" spans="1:6" s="35" customFormat="1" x14ac:dyDescent="0.3">
      <c r="A109" s="19">
        <v>310433</v>
      </c>
      <c r="B109" s="10" t="s">
        <v>1829</v>
      </c>
      <c r="C109" s="103" t="s">
        <v>1830</v>
      </c>
      <c r="D109" s="43" t="s">
        <v>202</v>
      </c>
      <c r="E109" s="42" t="s">
        <v>377</v>
      </c>
      <c r="F109" s="47">
        <v>43354</v>
      </c>
    </row>
    <row r="110" spans="1:6" s="35" customFormat="1" x14ac:dyDescent="0.3">
      <c r="A110" s="19">
        <v>343384</v>
      </c>
      <c r="B110" s="10" t="s">
        <v>1831</v>
      </c>
      <c r="C110" s="103" t="s">
        <v>1832</v>
      </c>
      <c r="D110" s="43" t="s">
        <v>202</v>
      </c>
      <c r="E110" s="42" t="s">
        <v>377</v>
      </c>
      <c r="F110" s="47">
        <v>43354</v>
      </c>
    </row>
    <row r="111" spans="1:6" s="35" customFormat="1" x14ac:dyDescent="0.3">
      <c r="A111" s="19">
        <v>508739</v>
      </c>
      <c r="B111" s="10" t="s">
        <v>1809</v>
      </c>
      <c r="C111" s="103" t="s">
        <v>1812</v>
      </c>
      <c r="D111" s="43" t="s">
        <v>25</v>
      </c>
      <c r="E111" s="9" t="s">
        <v>1804</v>
      </c>
      <c r="F111" s="47">
        <v>43354</v>
      </c>
    </row>
    <row r="112" spans="1:6" s="35" customFormat="1" x14ac:dyDescent="0.3">
      <c r="A112" s="19">
        <v>523720</v>
      </c>
      <c r="B112" s="10" t="s">
        <v>1810</v>
      </c>
      <c r="C112" s="103" t="s">
        <v>1811</v>
      </c>
      <c r="D112" s="43" t="s">
        <v>25</v>
      </c>
      <c r="E112" s="9" t="s">
        <v>1804</v>
      </c>
      <c r="F112" s="47">
        <v>43354</v>
      </c>
    </row>
    <row r="113" spans="1:6" s="35" customFormat="1" x14ac:dyDescent="0.3">
      <c r="A113" s="19">
        <v>345280</v>
      </c>
      <c r="B113" s="10" t="s">
        <v>1813</v>
      </c>
      <c r="C113" s="103" t="s">
        <v>1814</v>
      </c>
      <c r="D113" s="43" t="s">
        <v>25</v>
      </c>
      <c r="E113" s="9" t="s">
        <v>1804</v>
      </c>
      <c r="F113" s="47">
        <v>43354</v>
      </c>
    </row>
    <row r="114" spans="1:6" s="35" customFormat="1" x14ac:dyDescent="0.3">
      <c r="A114" s="19">
        <v>486126</v>
      </c>
      <c r="B114" s="10" t="s">
        <v>1799</v>
      </c>
      <c r="C114" s="103" t="s">
        <v>1800</v>
      </c>
      <c r="D114" s="43" t="s">
        <v>25</v>
      </c>
      <c r="E114" s="42" t="s">
        <v>1304</v>
      </c>
      <c r="F114" s="47">
        <v>43354</v>
      </c>
    </row>
    <row r="115" spans="1:6" s="35" customFormat="1" x14ac:dyDescent="0.3">
      <c r="A115" s="19">
        <v>486100</v>
      </c>
      <c r="B115" s="10" t="s">
        <v>1894</v>
      </c>
      <c r="C115" s="103" t="s">
        <v>1801</v>
      </c>
      <c r="D115" s="43" t="s">
        <v>25</v>
      </c>
      <c r="E115" s="42" t="s">
        <v>1304</v>
      </c>
      <c r="F115" s="47">
        <v>43354</v>
      </c>
    </row>
    <row r="116" spans="1:6" s="35" customFormat="1" x14ac:dyDescent="0.3">
      <c r="A116" s="19">
        <v>464172</v>
      </c>
      <c r="B116" s="10" t="s">
        <v>1791</v>
      </c>
      <c r="C116" s="103" t="s">
        <v>1792</v>
      </c>
      <c r="D116" s="43" t="s">
        <v>25</v>
      </c>
      <c r="E116" s="42" t="s">
        <v>1304</v>
      </c>
      <c r="F116" s="47" t="s">
        <v>860</v>
      </c>
    </row>
    <row r="117" spans="1:6" s="35" customFormat="1" x14ac:dyDescent="0.3">
      <c r="A117" s="19">
        <v>453084</v>
      </c>
      <c r="B117" s="10" t="s">
        <v>1788</v>
      </c>
      <c r="C117" s="103" t="s">
        <v>1790</v>
      </c>
      <c r="D117" s="43" t="s">
        <v>202</v>
      </c>
      <c r="E117" s="42" t="s">
        <v>1789</v>
      </c>
      <c r="F117" s="47">
        <v>43354</v>
      </c>
    </row>
    <row r="118" spans="1:6" s="35" customFormat="1" x14ac:dyDescent="0.3">
      <c r="A118" s="19">
        <v>416222</v>
      </c>
      <c r="B118" s="10" t="s">
        <v>1787</v>
      </c>
      <c r="C118" s="103" t="s">
        <v>1797</v>
      </c>
      <c r="D118" s="43" t="s">
        <v>202</v>
      </c>
      <c r="E118" s="42" t="s">
        <v>377</v>
      </c>
      <c r="F118" s="47">
        <v>43354</v>
      </c>
    </row>
    <row r="119" spans="1:6" s="35" customFormat="1" x14ac:dyDescent="0.3">
      <c r="A119" s="19">
        <v>519959</v>
      </c>
      <c r="B119" s="10" t="s">
        <v>1784</v>
      </c>
      <c r="C119" s="103" t="s">
        <v>1796</v>
      </c>
      <c r="D119" s="43" t="s">
        <v>76</v>
      </c>
      <c r="E119" s="42" t="s">
        <v>5</v>
      </c>
      <c r="F119" s="47">
        <v>43354</v>
      </c>
    </row>
    <row r="120" spans="1:6" s="35" customFormat="1" x14ac:dyDescent="0.3">
      <c r="A120" s="19">
        <v>560003</v>
      </c>
      <c r="B120" s="10" t="s">
        <v>1785</v>
      </c>
      <c r="C120" s="103" t="s">
        <v>1795</v>
      </c>
      <c r="D120" s="43" t="s">
        <v>76</v>
      </c>
      <c r="E120" s="42" t="s">
        <v>5</v>
      </c>
      <c r="F120" s="47">
        <v>43354</v>
      </c>
    </row>
    <row r="121" spans="1:6" s="35" customFormat="1" x14ac:dyDescent="0.3">
      <c r="A121" s="19">
        <v>576850</v>
      </c>
      <c r="B121" s="10" t="s">
        <v>1786</v>
      </c>
      <c r="C121" s="103" t="s">
        <v>1794</v>
      </c>
      <c r="D121" s="43" t="s">
        <v>76</v>
      </c>
      <c r="E121" s="42" t="s">
        <v>5</v>
      </c>
      <c r="F121" s="47">
        <v>43354</v>
      </c>
    </row>
    <row r="122" spans="1:6" s="35" customFormat="1" x14ac:dyDescent="0.3">
      <c r="A122" s="19">
        <v>283812</v>
      </c>
      <c r="B122" s="10" t="s">
        <v>1783</v>
      </c>
      <c r="C122" s="103" t="s">
        <v>1793</v>
      </c>
      <c r="D122" s="43" t="s">
        <v>202</v>
      </c>
      <c r="E122" s="42" t="s">
        <v>377</v>
      </c>
      <c r="F122" s="47">
        <v>43354</v>
      </c>
    </row>
    <row r="123" spans="1:6" s="35" customFormat="1" x14ac:dyDescent="0.3">
      <c r="A123" s="19">
        <v>281428</v>
      </c>
      <c r="B123" s="10" t="s">
        <v>1779</v>
      </c>
      <c r="C123" s="103" t="s">
        <v>1782</v>
      </c>
      <c r="D123" s="43" t="s">
        <v>48</v>
      </c>
      <c r="E123" s="98" t="s">
        <v>1780</v>
      </c>
      <c r="F123" s="47">
        <v>43348</v>
      </c>
    </row>
    <row r="124" spans="1:6" s="35" customFormat="1" x14ac:dyDescent="0.3">
      <c r="A124" s="19">
        <v>470096</v>
      </c>
      <c r="B124" s="104" t="s">
        <v>1778</v>
      </c>
      <c r="C124" s="103" t="s">
        <v>1781</v>
      </c>
      <c r="D124" s="43" t="s">
        <v>202</v>
      </c>
      <c r="E124" s="42" t="s">
        <v>5</v>
      </c>
      <c r="F124" s="47">
        <v>43348</v>
      </c>
    </row>
    <row r="125" spans="1:6" s="35" customFormat="1" x14ac:dyDescent="0.3">
      <c r="A125" s="19">
        <v>534958</v>
      </c>
      <c r="B125" s="10" t="s">
        <v>1776</v>
      </c>
      <c r="C125" s="103" t="s">
        <v>1777</v>
      </c>
      <c r="D125" s="43" t="s">
        <v>25</v>
      </c>
      <c r="E125" s="42" t="s">
        <v>5</v>
      </c>
      <c r="F125" s="47">
        <v>43348</v>
      </c>
    </row>
    <row r="126" spans="1:6" x14ac:dyDescent="0.3">
      <c r="A126" s="19">
        <v>289793</v>
      </c>
      <c r="B126" s="10" t="s">
        <v>1763</v>
      </c>
      <c r="C126" s="103" t="s">
        <v>1764</v>
      </c>
      <c r="D126" s="43" t="s">
        <v>25</v>
      </c>
      <c r="E126" s="42" t="s">
        <v>5</v>
      </c>
      <c r="F126" s="47">
        <v>43348</v>
      </c>
    </row>
    <row r="127" spans="1:6" s="35" customFormat="1" x14ac:dyDescent="0.3">
      <c r="A127" s="19">
        <v>457515</v>
      </c>
      <c r="B127" s="10" t="s">
        <v>1758</v>
      </c>
      <c r="C127" s="103" t="s">
        <v>1765</v>
      </c>
      <c r="D127" s="43" t="s">
        <v>202</v>
      </c>
      <c r="E127" s="9" t="s">
        <v>1759</v>
      </c>
      <c r="F127" s="47">
        <v>43348</v>
      </c>
    </row>
    <row r="128" spans="1:6" s="35" customFormat="1" x14ac:dyDescent="0.3">
      <c r="A128" s="19">
        <v>400309</v>
      </c>
      <c r="B128" s="10" t="s">
        <v>1741</v>
      </c>
      <c r="C128" s="103" t="s">
        <v>1768</v>
      </c>
      <c r="D128" s="43" t="s">
        <v>202</v>
      </c>
      <c r="E128" s="42" t="s">
        <v>5</v>
      </c>
      <c r="F128" s="47">
        <v>43348</v>
      </c>
    </row>
    <row r="129" spans="1:8" s="97" customFormat="1" x14ac:dyDescent="0.3">
      <c r="A129" s="19">
        <v>434589</v>
      </c>
      <c r="B129" s="10" t="s">
        <v>1742</v>
      </c>
      <c r="C129" s="103" t="s">
        <v>1769</v>
      </c>
      <c r="D129" s="43" t="s">
        <v>202</v>
      </c>
      <c r="E129" s="42" t="s">
        <v>5</v>
      </c>
      <c r="F129" s="47">
        <v>43348</v>
      </c>
    </row>
    <row r="130" spans="1:8" s="35" customFormat="1" x14ac:dyDescent="0.3">
      <c r="A130" s="19">
        <v>460162</v>
      </c>
      <c r="B130" s="10" t="s">
        <v>1744</v>
      </c>
      <c r="C130" s="103" t="s">
        <v>1770</v>
      </c>
      <c r="D130" s="43" t="s">
        <v>202</v>
      </c>
      <c r="E130" s="42" t="s">
        <v>5</v>
      </c>
      <c r="F130" s="47">
        <v>43348</v>
      </c>
    </row>
    <row r="131" spans="1:8" s="35" customFormat="1" x14ac:dyDescent="0.3">
      <c r="A131" s="19">
        <v>321943</v>
      </c>
      <c r="B131" s="10" t="s">
        <v>1745</v>
      </c>
      <c r="C131" s="103" t="s">
        <v>1771</v>
      </c>
      <c r="D131" s="43" t="s">
        <v>202</v>
      </c>
      <c r="E131" s="42" t="s">
        <v>5</v>
      </c>
      <c r="F131" s="47">
        <v>43348</v>
      </c>
    </row>
    <row r="132" spans="1:8" s="35" customFormat="1" x14ac:dyDescent="0.3">
      <c r="A132" s="19">
        <v>428847</v>
      </c>
      <c r="B132" s="10" t="s">
        <v>1747</v>
      </c>
      <c r="C132" s="103" t="s">
        <v>1772</v>
      </c>
      <c r="D132" s="43" t="s">
        <v>202</v>
      </c>
      <c r="E132" s="42" t="s">
        <v>5</v>
      </c>
      <c r="F132" s="47">
        <v>43348</v>
      </c>
    </row>
    <row r="133" spans="1:8" s="35" customFormat="1" x14ac:dyDescent="0.3">
      <c r="A133" s="19">
        <v>498493</v>
      </c>
      <c r="B133" s="10" t="s">
        <v>1748</v>
      </c>
      <c r="C133" s="103" t="s">
        <v>1773</v>
      </c>
      <c r="D133" s="43" t="s">
        <v>202</v>
      </c>
      <c r="E133" s="42" t="s">
        <v>5</v>
      </c>
      <c r="F133" s="47">
        <v>43348</v>
      </c>
    </row>
    <row r="134" spans="1:8" s="35" customFormat="1" x14ac:dyDescent="0.3">
      <c r="A134" s="19">
        <v>429969</v>
      </c>
      <c r="B134" s="10" t="s">
        <v>1751</v>
      </c>
      <c r="C134" s="103" t="s">
        <v>1774</v>
      </c>
      <c r="D134" s="43" t="s">
        <v>202</v>
      </c>
      <c r="E134" s="42" t="s">
        <v>5</v>
      </c>
      <c r="F134" s="47">
        <v>43348</v>
      </c>
    </row>
    <row r="135" spans="1:8" s="35" customFormat="1" x14ac:dyDescent="0.3">
      <c r="A135" s="19">
        <v>341131</v>
      </c>
      <c r="B135" s="10" t="s">
        <v>1752</v>
      </c>
      <c r="C135" s="103" t="s">
        <v>1775</v>
      </c>
      <c r="D135" s="43" t="s">
        <v>202</v>
      </c>
      <c r="E135" s="42" t="s">
        <v>5</v>
      </c>
      <c r="F135" s="47">
        <v>43348</v>
      </c>
    </row>
    <row r="136" spans="1:8" s="35" customFormat="1" x14ac:dyDescent="0.3">
      <c r="A136" s="43">
        <v>399170</v>
      </c>
      <c r="B136" s="42" t="s">
        <v>1740</v>
      </c>
      <c r="C136" s="34" t="s">
        <v>1757</v>
      </c>
      <c r="D136" s="43" t="s">
        <v>202</v>
      </c>
      <c r="E136" s="42" t="s">
        <v>5</v>
      </c>
      <c r="F136" s="47" t="s">
        <v>860</v>
      </c>
    </row>
    <row r="137" spans="1:8" s="35" customFormat="1" x14ac:dyDescent="0.3">
      <c r="A137" s="43">
        <v>436964</v>
      </c>
      <c r="B137" s="42" t="s">
        <v>1743</v>
      </c>
      <c r="C137" s="34" t="s">
        <v>1753</v>
      </c>
      <c r="D137" s="43" t="s">
        <v>202</v>
      </c>
      <c r="E137" s="42" t="s">
        <v>5</v>
      </c>
      <c r="F137" s="47" t="s">
        <v>860</v>
      </c>
    </row>
    <row r="138" spans="1:8" s="35" customFormat="1" x14ac:dyDescent="0.3">
      <c r="A138" s="43">
        <v>441535</v>
      </c>
      <c r="B138" s="42" t="s">
        <v>1746</v>
      </c>
      <c r="C138" s="34" t="s">
        <v>1754</v>
      </c>
      <c r="D138" s="43" t="s">
        <v>202</v>
      </c>
      <c r="E138" s="42" t="s">
        <v>5</v>
      </c>
      <c r="F138" s="47" t="s">
        <v>860</v>
      </c>
      <c r="H138" s="87"/>
    </row>
    <row r="139" spans="1:8" s="35" customFormat="1" x14ac:dyDescent="0.3">
      <c r="A139" s="43">
        <v>487280</v>
      </c>
      <c r="B139" s="42" t="s">
        <v>1749</v>
      </c>
      <c r="C139" s="34" t="s">
        <v>1755</v>
      </c>
      <c r="D139" s="43" t="s">
        <v>202</v>
      </c>
      <c r="E139" s="42" t="s">
        <v>5</v>
      </c>
      <c r="F139" s="47" t="s">
        <v>860</v>
      </c>
    </row>
    <row r="140" spans="1:8" s="35" customFormat="1" x14ac:dyDescent="0.3">
      <c r="A140" s="43">
        <v>447078</v>
      </c>
      <c r="B140" s="42" t="s">
        <v>1750</v>
      </c>
      <c r="C140" s="34" t="s">
        <v>1756</v>
      </c>
      <c r="D140" s="43" t="s">
        <v>202</v>
      </c>
      <c r="E140" s="42" t="s">
        <v>5</v>
      </c>
      <c r="F140" s="47" t="s">
        <v>860</v>
      </c>
    </row>
    <row r="141" spans="1:8" s="35" customFormat="1" x14ac:dyDescent="0.3">
      <c r="A141" s="33">
        <v>380535</v>
      </c>
      <c r="B141" s="42" t="s">
        <v>1733</v>
      </c>
      <c r="C141" s="34" t="s">
        <v>1734</v>
      </c>
      <c r="D141" s="43" t="s">
        <v>25</v>
      </c>
      <c r="E141" s="42" t="s">
        <v>377</v>
      </c>
      <c r="F141" s="47">
        <v>43340</v>
      </c>
    </row>
    <row r="142" spans="1:8" s="35" customFormat="1" x14ac:dyDescent="0.3">
      <c r="A142" s="33">
        <v>541920</v>
      </c>
      <c r="B142" s="35" t="s">
        <v>1736</v>
      </c>
      <c r="C142" s="34" t="s">
        <v>1737</v>
      </c>
      <c r="D142" s="43" t="s">
        <v>25</v>
      </c>
      <c r="E142" s="42" t="s">
        <v>5</v>
      </c>
      <c r="F142" s="47" t="s">
        <v>860</v>
      </c>
    </row>
    <row r="143" spans="1:8" s="35" customFormat="1" x14ac:dyDescent="0.3">
      <c r="A143" s="33">
        <v>465377</v>
      </c>
      <c r="B143" s="42" t="s">
        <v>1731</v>
      </c>
      <c r="C143" s="34" t="s">
        <v>1732</v>
      </c>
      <c r="D143" s="43" t="s">
        <v>98</v>
      </c>
      <c r="E143" s="42" t="s">
        <v>5</v>
      </c>
      <c r="F143" s="47">
        <v>43333</v>
      </c>
    </row>
    <row r="144" spans="1:8" s="35" customFormat="1" x14ac:dyDescent="0.3">
      <c r="A144" s="33">
        <v>171033</v>
      </c>
      <c r="B144" s="42" t="s">
        <v>1725</v>
      </c>
      <c r="C144" s="34" t="s">
        <v>1726</v>
      </c>
      <c r="D144" s="43" t="s">
        <v>202</v>
      </c>
      <c r="E144" s="42" t="s">
        <v>5</v>
      </c>
      <c r="F144" s="47">
        <v>43333</v>
      </c>
    </row>
    <row r="145" spans="1:6" s="35" customFormat="1" x14ac:dyDescent="0.3">
      <c r="A145" s="33">
        <v>463463</v>
      </c>
      <c r="B145" s="42" t="s">
        <v>1727</v>
      </c>
      <c r="C145" s="34" t="s">
        <v>1728</v>
      </c>
      <c r="D145" s="43" t="s">
        <v>106</v>
      </c>
      <c r="E145" s="42" t="s">
        <v>5</v>
      </c>
      <c r="F145" s="47">
        <v>43333</v>
      </c>
    </row>
    <row r="146" spans="1:6" s="35" customFormat="1" x14ac:dyDescent="0.3">
      <c r="A146" s="33">
        <v>283804</v>
      </c>
      <c r="B146" s="42" t="s">
        <v>1729</v>
      </c>
      <c r="C146" s="34" t="s">
        <v>1730</v>
      </c>
      <c r="D146" s="43" t="s">
        <v>202</v>
      </c>
      <c r="E146" s="42" t="s">
        <v>5</v>
      </c>
      <c r="F146" s="47">
        <v>43333</v>
      </c>
    </row>
    <row r="147" spans="1:6" s="35" customFormat="1" x14ac:dyDescent="0.3">
      <c r="A147" s="102">
        <v>467159</v>
      </c>
      <c r="B147" s="42" t="s">
        <v>1715</v>
      </c>
      <c r="C147" s="34" t="s">
        <v>1722</v>
      </c>
      <c r="D147" s="43" t="s">
        <v>25</v>
      </c>
      <c r="E147" s="42" t="s">
        <v>1304</v>
      </c>
      <c r="F147" s="47" t="s">
        <v>860</v>
      </c>
    </row>
    <row r="148" spans="1:6" s="35" customFormat="1" x14ac:dyDescent="0.3">
      <c r="A148" s="33">
        <v>6585</v>
      </c>
      <c r="B148" s="42" t="s">
        <v>1720</v>
      </c>
      <c r="C148" s="34" t="s">
        <v>1721</v>
      </c>
      <c r="D148" s="43" t="s">
        <v>202</v>
      </c>
      <c r="E148" s="42" t="s">
        <v>5</v>
      </c>
      <c r="F148" s="47">
        <v>43333</v>
      </c>
    </row>
    <row r="149" spans="1:6" s="35" customFormat="1" x14ac:dyDescent="0.3">
      <c r="A149" s="33">
        <v>474429</v>
      </c>
      <c r="B149" s="99" t="s">
        <v>1714</v>
      </c>
      <c r="C149" s="101" t="s">
        <v>1719</v>
      </c>
      <c r="D149" s="100" t="s">
        <v>25</v>
      </c>
      <c r="E149" s="98" t="s">
        <v>5</v>
      </c>
      <c r="F149" s="96">
        <v>43333</v>
      </c>
    </row>
    <row r="150" spans="1:6" s="35" customFormat="1" x14ac:dyDescent="0.3">
      <c r="A150" s="33">
        <v>589325</v>
      </c>
      <c r="B150" s="42" t="s">
        <v>1718</v>
      </c>
      <c r="C150" s="34" t="s">
        <v>1766</v>
      </c>
      <c r="D150" s="43" t="s">
        <v>76</v>
      </c>
      <c r="E150" s="42" t="s">
        <v>5</v>
      </c>
      <c r="F150" s="47">
        <v>43326</v>
      </c>
    </row>
    <row r="151" spans="1:6" s="35" customFormat="1" x14ac:dyDescent="0.3">
      <c r="A151" s="94">
        <v>483586</v>
      </c>
      <c r="B151" s="42" t="s">
        <v>1705</v>
      </c>
      <c r="C151" s="34" t="s">
        <v>1716</v>
      </c>
      <c r="D151" s="43" t="s">
        <v>202</v>
      </c>
      <c r="E151" s="10" t="s">
        <v>1702</v>
      </c>
      <c r="F151" s="47">
        <v>43326</v>
      </c>
    </row>
    <row r="152" spans="1:6" s="35" customFormat="1" x14ac:dyDescent="0.3">
      <c r="A152" s="94">
        <v>483594</v>
      </c>
      <c r="B152" s="42" t="s">
        <v>1700</v>
      </c>
      <c r="C152" s="34" t="s">
        <v>1701</v>
      </c>
      <c r="D152" s="43" t="s">
        <v>202</v>
      </c>
      <c r="E152" s="10" t="s">
        <v>1703</v>
      </c>
      <c r="F152" s="47">
        <v>43326</v>
      </c>
    </row>
    <row r="153" spans="1:6" s="35" customFormat="1" x14ac:dyDescent="0.3">
      <c r="A153" s="94">
        <v>483602</v>
      </c>
      <c r="B153" s="42" t="s">
        <v>1699</v>
      </c>
      <c r="C153" s="34" t="s">
        <v>1717</v>
      </c>
      <c r="D153" s="43" t="s">
        <v>202</v>
      </c>
      <c r="E153" s="42" t="s">
        <v>1704</v>
      </c>
      <c r="F153" s="47">
        <v>43326</v>
      </c>
    </row>
    <row r="154" spans="1:6" s="35" customFormat="1" x14ac:dyDescent="0.3">
      <c r="A154" s="94">
        <v>139089</v>
      </c>
      <c r="B154" s="42" t="s">
        <v>1735</v>
      </c>
      <c r="C154" s="34" t="s">
        <v>1738</v>
      </c>
      <c r="D154" s="43" t="s">
        <v>1739</v>
      </c>
      <c r="E154" s="98" t="s">
        <v>5</v>
      </c>
      <c r="F154" s="47">
        <v>43326</v>
      </c>
    </row>
    <row r="155" spans="1:6" s="35" customFormat="1" x14ac:dyDescent="0.3">
      <c r="A155" s="5">
        <v>679852</v>
      </c>
      <c r="B155" s="42" t="s">
        <v>1706</v>
      </c>
      <c r="C155" s="34" t="s">
        <v>1707</v>
      </c>
      <c r="D155" s="43" t="s">
        <v>34</v>
      </c>
      <c r="E155" s="42" t="s">
        <v>1709</v>
      </c>
      <c r="F155" s="47">
        <v>43326</v>
      </c>
    </row>
    <row r="156" spans="1:6" s="35" customFormat="1" x14ac:dyDescent="0.3">
      <c r="A156" s="33">
        <v>679860</v>
      </c>
      <c r="B156" s="42" t="s">
        <v>1696</v>
      </c>
      <c r="C156" s="34" t="s">
        <v>1697</v>
      </c>
      <c r="D156" s="43" t="s">
        <v>34</v>
      </c>
      <c r="E156" s="42" t="s">
        <v>1708</v>
      </c>
      <c r="F156" s="47">
        <v>43326</v>
      </c>
    </row>
    <row r="157" spans="1:6" s="35" customFormat="1" x14ac:dyDescent="0.3">
      <c r="A157" s="33">
        <v>284570</v>
      </c>
      <c r="B157" s="90" t="s">
        <v>1712</v>
      </c>
      <c r="C157" s="34" t="s">
        <v>1713</v>
      </c>
      <c r="D157" s="43" t="s">
        <v>202</v>
      </c>
      <c r="E157" s="55" t="s">
        <v>1798</v>
      </c>
      <c r="F157" s="47">
        <v>43326</v>
      </c>
    </row>
    <row r="158" spans="1:6" s="35" customFormat="1" x14ac:dyDescent="0.3">
      <c r="A158" s="33">
        <v>162602</v>
      </c>
      <c r="B158" s="90" t="s">
        <v>1711</v>
      </c>
      <c r="C158" s="34" t="s">
        <v>1767</v>
      </c>
      <c r="D158" s="43" t="s">
        <v>202</v>
      </c>
      <c r="E158" s="42" t="s">
        <v>1710</v>
      </c>
      <c r="F158" s="47">
        <v>43326</v>
      </c>
    </row>
    <row r="159" spans="1:6" s="35" customFormat="1" x14ac:dyDescent="0.3">
      <c r="A159" s="33">
        <v>197152</v>
      </c>
      <c r="B159" s="42" t="s">
        <v>1695</v>
      </c>
      <c r="C159" s="34" t="s">
        <v>1698</v>
      </c>
      <c r="D159" s="43" t="s">
        <v>202</v>
      </c>
      <c r="E159" s="42" t="s">
        <v>5</v>
      </c>
      <c r="F159" s="47">
        <v>43326</v>
      </c>
    </row>
    <row r="160" spans="1:6" s="35" customFormat="1" x14ac:dyDescent="0.3">
      <c r="A160" s="33">
        <v>317768</v>
      </c>
      <c r="B160" s="89" t="s">
        <v>1691</v>
      </c>
      <c r="C160" s="34" t="s">
        <v>1693</v>
      </c>
      <c r="D160" s="43" t="s">
        <v>202</v>
      </c>
      <c r="E160" s="42" t="s">
        <v>5</v>
      </c>
      <c r="F160" s="47">
        <v>43326</v>
      </c>
    </row>
    <row r="161" spans="1:6" s="35" customFormat="1" x14ac:dyDescent="0.3">
      <c r="A161" s="33">
        <v>250209</v>
      </c>
      <c r="B161" s="89" t="s">
        <v>1692</v>
      </c>
      <c r="C161" s="34" t="s">
        <v>1694</v>
      </c>
      <c r="D161" s="43" t="s">
        <v>202</v>
      </c>
      <c r="E161" s="42" t="s">
        <v>5</v>
      </c>
      <c r="F161" s="47">
        <v>43326</v>
      </c>
    </row>
    <row r="162" spans="1:6" s="35" customFormat="1" x14ac:dyDescent="0.3">
      <c r="A162" s="33">
        <v>363465</v>
      </c>
      <c r="B162" s="42" t="s">
        <v>1690</v>
      </c>
      <c r="C162" s="34" t="s">
        <v>1689</v>
      </c>
      <c r="D162" s="43" t="s">
        <v>37</v>
      </c>
      <c r="E162" s="42" t="s">
        <v>5</v>
      </c>
      <c r="F162" s="47">
        <v>43326</v>
      </c>
    </row>
    <row r="163" spans="1:6" s="35" customFormat="1" x14ac:dyDescent="0.3">
      <c r="A163" s="33">
        <v>515148</v>
      </c>
      <c r="B163" s="42" t="s">
        <v>1683</v>
      </c>
      <c r="C163" s="34" t="s">
        <v>1684</v>
      </c>
      <c r="D163" s="43" t="s">
        <v>25</v>
      </c>
      <c r="E163" s="42" t="s">
        <v>5</v>
      </c>
      <c r="F163" s="47">
        <v>43320</v>
      </c>
    </row>
    <row r="164" spans="1:6" s="35" customFormat="1" x14ac:dyDescent="0.3">
      <c r="A164" s="95">
        <v>142083</v>
      </c>
      <c r="B164" s="42" t="s">
        <v>1685</v>
      </c>
      <c r="C164" s="34" t="s">
        <v>1686</v>
      </c>
      <c r="D164" s="43" t="s">
        <v>29</v>
      </c>
      <c r="E164" s="42" t="s">
        <v>1687</v>
      </c>
      <c r="F164" s="47">
        <v>43320</v>
      </c>
    </row>
    <row r="165" spans="1:6" s="35" customFormat="1" x14ac:dyDescent="0.3">
      <c r="A165" s="33">
        <v>486514</v>
      </c>
      <c r="B165" s="42" t="s">
        <v>1682</v>
      </c>
      <c r="C165" s="34" t="s">
        <v>1688</v>
      </c>
      <c r="D165" s="43" t="s">
        <v>37</v>
      </c>
      <c r="E165" s="42" t="s">
        <v>1724</v>
      </c>
      <c r="F165" s="47">
        <v>43320</v>
      </c>
    </row>
    <row r="166" spans="1:6" s="35" customFormat="1" x14ac:dyDescent="0.3">
      <c r="A166" s="33">
        <v>518050</v>
      </c>
      <c r="B166" s="42" t="s">
        <v>1681</v>
      </c>
      <c r="C166" s="34" t="s">
        <v>1680</v>
      </c>
      <c r="D166" s="43" t="s">
        <v>25</v>
      </c>
      <c r="E166" s="42" t="s">
        <v>377</v>
      </c>
      <c r="F166" s="47" t="s">
        <v>860</v>
      </c>
    </row>
    <row r="167" spans="1:6" s="35" customFormat="1" x14ac:dyDescent="0.3">
      <c r="A167" s="33">
        <v>269761</v>
      </c>
      <c r="B167" s="42" t="s">
        <v>1679</v>
      </c>
      <c r="C167" s="34" t="s">
        <v>1678</v>
      </c>
      <c r="D167" s="43" t="s">
        <v>202</v>
      </c>
      <c r="E167" s="6" t="s">
        <v>1501</v>
      </c>
      <c r="F167" s="47" t="s">
        <v>860</v>
      </c>
    </row>
    <row r="168" spans="1:6" s="35" customFormat="1" x14ac:dyDescent="0.3">
      <c r="A168" s="33">
        <v>269753</v>
      </c>
      <c r="B168" s="42" t="s">
        <v>1676</v>
      </c>
      <c r="C168" s="34" t="s">
        <v>1677</v>
      </c>
      <c r="D168" s="43" t="s">
        <v>202</v>
      </c>
      <c r="E168" s="6" t="s">
        <v>1501</v>
      </c>
      <c r="F168" s="47" t="s">
        <v>860</v>
      </c>
    </row>
    <row r="169" spans="1:6" s="35" customFormat="1" x14ac:dyDescent="0.3">
      <c r="A169" s="33">
        <v>394577</v>
      </c>
      <c r="B169" s="42" t="s">
        <v>1675</v>
      </c>
      <c r="C169" s="34" t="s">
        <v>1674</v>
      </c>
      <c r="D169" s="43" t="s">
        <v>202</v>
      </c>
      <c r="E169" s="6" t="s">
        <v>1501</v>
      </c>
      <c r="F169" s="47" t="s">
        <v>860</v>
      </c>
    </row>
    <row r="170" spans="1:6" s="35" customFormat="1" x14ac:dyDescent="0.3">
      <c r="A170" s="33">
        <v>614909</v>
      </c>
      <c r="B170" s="42" t="s">
        <v>1673</v>
      </c>
      <c r="C170" s="34" t="s">
        <v>1672</v>
      </c>
      <c r="D170" s="43" t="s">
        <v>48</v>
      </c>
      <c r="E170" s="21" t="s">
        <v>1318</v>
      </c>
      <c r="F170" s="47" t="s">
        <v>860</v>
      </c>
    </row>
    <row r="171" spans="1:6" s="35" customFormat="1" x14ac:dyDescent="0.3">
      <c r="A171" s="33">
        <v>578898</v>
      </c>
      <c r="B171" s="42" t="s">
        <v>1671</v>
      </c>
      <c r="C171" s="34" t="s">
        <v>1670</v>
      </c>
      <c r="D171" s="43" t="s">
        <v>25</v>
      </c>
      <c r="E171" s="42" t="s">
        <v>1304</v>
      </c>
      <c r="F171" s="47" t="s">
        <v>860</v>
      </c>
    </row>
    <row r="172" spans="1:6" s="35" customFormat="1" x14ac:dyDescent="0.3">
      <c r="A172" s="33">
        <v>492991</v>
      </c>
      <c r="B172" s="42" t="s">
        <v>1668</v>
      </c>
      <c r="C172" s="34" t="s">
        <v>1667</v>
      </c>
      <c r="D172" s="43" t="s">
        <v>25</v>
      </c>
      <c r="E172" s="9" t="s">
        <v>1666</v>
      </c>
      <c r="F172" s="47">
        <v>43305</v>
      </c>
    </row>
    <row r="173" spans="1:6" s="35" customFormat="1" x14ac:dyDescent="0.3">
      <c r="A173" s="33">
        <v>391862</v>
      </c>
      <c r="B173" s="42" t="s">
        <v>1664</v>
      </c>
      <c r="C173" s="34" t="s">
        <v>1669</v>
      </c>
      <c r="D173" s="43" t="s">
        <v>25</v>
      </c>
      <c r="E173" s="42" t="s">
        <v>1304</v>
      </c>
      <c r="F173" s="47">
        <v>43305</v>
      </c>
    </row>
    <row r="174" spans="1:6" s="35" customFormat="1" x14ac:dyDescent="0.3">
      <c r="A174" s="33">
        <v>514851</v>
      </c>
      <c r="B174" s="42" t="s">
        <v>1665</v>
      </c>
      <c r="C174" s="34" t="s">
        <v>1723</v>
      </c>
      <c r="D174" s="43" t="s">
        <v>25</v>
      </c>
      <c r="E174" s="42" t="s">
        <v>1304</v>
      </c>
      <c r="F174" s="47">
        <v>43305</v>
      </c>
    </row>
    <row r="175" spans="1:6" s="35" customFormat="1" x14ac:dyDescent="0.3">
      <c r="A175" s="33">
        <v>132670</v>
      </c>
      <c r="B175" s="42" t="s">
        <v>1660</v>
      </c>
      <c r="C175" s="34" t="s">
        <v>1658</v>
      </c>
      <c r="D175" s="43" t="s">
        <v>37</v>
      </c>
      <c r="E175" s="42" t="s">
        <v>5</v>
      </c>
      <c r="F175" s="47">
        <v>43291</v>
      </c>
    </row>
    <row r="176" spans="1:6" s="35" customFormat="1" x14ac:dyDescent="0.3">
      <c r="A176" s="33">
        <v>256172</v>
      </c>
      <c r="B176" s="42" t="s">
        <v>1661</v>
      </c>
      <c r="C176" s="34" t="s">
        <v>1659</v>
      </c>
      <c r="D176" s="43" t="s">
        <v>37</v>
      </c>
      <c r="E176" s="42" t="s">
        <v>5</v>
      </c>
      <c r="F176" s="47">
        <v>43291</v>
      </c>
    </row>
    <row r="177" spans="1:6" s="35" customFormat="1" x14ac:dyDescent="0.3">
      <c r="A177" s="33">
        <v>519942</v>
      </c>
      <c r="B177" s="42" t="s">
        <v>1657</v>
      </c>
      <c r="C177" s="34" t="s">
        <v>1662</v>
      </c>
      <c r="D177" s="43" t="s">
        <v>76</v>
      </c>
      <c r="E177" s="42" t="s">
        <v>5</v>
      </c>
      <c r="F177" s="47">
        <v>43291</v>
      </c>
    </row>
    <row r="178" spans="1:6" s="35" customFormat="1" x14ac:dyDescent="0.3">
      <c r="A178" s="33">
        <v>555847</v>
      </c>
      <c r="B178" s="42" t="s">
        <v>1656</v>
      </c>
      <c r="C178" s="34" t="s">
        <v>1663</v>
      </c>
      <c r="D178" s="43" t="s">
        <v>76</v>
      </c>
      <c r="E178" s="42" t="s">
        <v>5</v>
      </c>
      <c r="F178" s="47">
        <v>43291</v>
      </c>
    </row>
    <row r="179" spans="1:6" s="35" customFormat="1" x14ac:dyDescent="0.3">
      <c r="A179" s="33">
        <v>42242</v>
      </c>
      <c r="B179" s="42" t="s">
        <v>1650</v>
      </c>
      <c r="C179" s="34" t="s">
        <v>1651</v>
      </c>
      <c r="D179" s="43" t="s">
        <v>202</v>
      </c>
      <c r="E179" s="42" t="s">
        <v>377</v>
      </c>
      <c r="F179" s="47">
        <v>43291</v>
      </c>
    </row>
    <row r="180" spans="1:6" s="35" customFormat="1" x14ac:dyDescent="0.3">
      <c r="A180" s="33">
        <v>427369</v>
      </c>
      <c r="B180" s="42" t="s">
        <v>1652</v>
      </c>
      <c r="C180" s="34" t="s">
        <v>1653</v>
      </c>
      <c r="D180" s="43" t="s">
        <v>202</v>
      </c>
      <c r="E180" s="42" t="s">
        <v>377</v>
      </c>
      <c r="F180" s="47">
        <v>43291</v>
      </c>
    </row>
    <row r="181" spans="1:6" s="35" customFormat="1" x14ac:dyDescent="0.3">
      <c r="A181" s="33">
        <v>78048</v>
      </c>
      <c r="B181" s="42" t="s">
        <v>1654</v>
      </c>
      <c r="C181" s="34" t="s">
        <v>1655</v>
      </c>
      <c r="D181" s="43" t="s">
        <v>202</v>
      </c>
      <c r="E181" s="42" t="s">
        <v>377</v>
      </c>
      <c r="F181" s="47">
        <v>43291</v>
      </c>
    </row>
    <row r="182" spans="1:6" s="35" customFormat="1" x14ac:dyDescent="0.3">
      <c r="A182" s="33">
        <v>301895</v>
      </c>
      <c r="B182" s="42" t="s">
        <v>1646</v>
      </c>
      <c r="C182" s="34" t="s">
        <v>1645</v>
      </c>
      <c r="D182" s="43" t="s">
        <v>48</v>
      </c>
      <c r="E182" s="42" t="s">
        <v>377</v>
      </c>
      <c r="F182" s="47" t="s">
        <v>860</v>
      </c>
    </row>
    <row r="183" spans="1:6" s="35" customFormat="1" x14ac:dyDescent="0.3">
      <c r="A183" s="33">
        <v>401612</v>
      </c>
      <c r="B183" s="42" t="s">
        <v>1647</v>
      </c>
      <c r="C183" s="34" t="s">
        <v>1648</v>
      </c>
      <c r="D183" s="43" t="s">
        <v>202</v>
      </c>
      <c r="E183" s="42" t="s">
        <v>377</v>
      </c>
      <c r="F183" s="47" t="s">
        <v>860</v>
      </c>
    </row>
    <row r="184" spans="1:6" s="35" customFormat="1" x14ac:dyDescent="0.3">
      <c r="A184" s="33">
        <v>547075</v>
      </c>
      <c r="B184" s="42" t="s">
        <v>1126</v>
      </c>
      <c r="C184" s="54" t="s">
        <v>1649</v>
      </c>
      <c r="D184" s="43" t="s">
        <v>202</v>
      </c>
      <c r="E184" s="42" t="s">
        <v>377</v>
      </c>
      <c r="F184" s="47" t="s">
        <v>860</v>
      </c>
    </row>
    <row r="185" spans="1:6" s="35" customFormat="1" x14ac:dyDescent="0.3">
      <c r="A185" s="33">
        <v>462580</v>
      </c>
      <c r="B185" s="42" t="s">
        <v>1642</v>
      </c>
      <c r="C185" s="34" t="s">
        <v>1643</v>
      </c>
      <c r="D185" s="43" t="s">
        <v>25</v>
      </c>
      <c r="E185" s="9" t="s">
        <v>1641</v>
      </c>
      <c r="F185" s="47">
        <v>43291</v>
      </c>
    </row>
    <row r="186" spans="1:6" s="35" customFormat="1" x14ac:dyDescent="0.3">
      <c r="A186" s="33">
        <v>929026</v>
      </c>
      <c r="B186" s="42" t="s">
        <v>1640</v>
      </c>
      <c r="C186" s="34" t="s">
        <v>1644</v>
      </c>
      <c r="D186" s="43" t="s">
        <v>106</v>
      </c>
      <c r="E186" s="42" t="s">
        <v>5</v>
      </c>
      <c r="F186" s="47" t="s">
        <v>860</v>
      </c>
    </row>
    <row r="187" spans="1:6" s="35" customFormat="1" x14ac:dyDescent="0.3">
      <c r="A187" s="33">
        <v>437293</v>
      </c>
      <c r="B187" s="42" t="s">
        <v>1631</v>
      </c>
      <c r="C187" s="34" t="s">
        <v>1639</v>
      </c>
      <c r="D187" s="43" t="s">
        <v>25</v>
      </c>
      <c r="E187" s="42" t="s">
        <v>5</v>
      </c>
      <c r="F187" s="47" t="s">
        <v>860</v>
      </c>
    </row>
    <row r="188" spans="1:6" s="35" customFormat="1" x14ac:dyDescent="0.3">
      <c r="A188" s="33">
        <v>437301</v>
      </c>
      <c r="B188" s="42" t="s">
        <v>1632</v>
      </c>
      <c r="C188" s="34" t="s">
        <v>1638</v>
      </c>
      <c r="D188" s="43" t="s">
        <v>25</v>
      </c>
      <c r="E188" s="42" t="s">
        <v>5</v>
      </c>
      <c r="F188" s="47" t="s">
        <v>860</v>
      </c>
    </row>
    <row r="189" spans="1:6" s="35" customFormat="1" x14ac:dyDescent="0.3">
      <c r="A189" s="33">
        <v>442400</v>
      </c>
      <c r="B189" s="42" t="s">
        <v>1633</v>
      </c>
      <c r="C189" s="34" t="s">
        <v>1637</v>
      </c>
      <c r="D189" s="43" t="s">
        <v>25</v>
      </c>
      <c r="E189" s="42" t="s">
        <v>5</v>
      </c>
      <c r="F189" s="47" t="s">
        <v>860</v>
      </c>
    </row>
    <row r="190" spans="1:6" s="35" customFormat="1" x14ac:dyDescent="0.3">
      <c r="A190" s="33">
        <v>26</v>
      </c>
      <c r="B190" s="42" t="s">
        <v>1627</v>
      </c>
      <c r="C190" s="34" t="s">
        <v>1628</v>
      </c>
      <c r="D190" s="43" t="s">
        <v>202</v>
      </c>
      <c r="E190" s="42" t="s">
        <v>5</v>
      </c>
      <c r="F190" s="47">
        <v>43285</v>
      </c>
    </row>
    <row r="191" spans="1:6" s="35" customFormat="1" x14ac:dyDescent="0.3">
      <c r="A191" s="33">
        <v>679506</v>
      </c>
      <c r="B191" s="42" t="s">
        <v>1625</v>
      </c>
      <c r="C191" s="34" t="s">
        <v>1583</v>
      </c>
      <c r="D191" s="43" t="s">
        <v>37</v>
      </c>
      <c r="E191" s="42" t="s">
        <v>5</v>
      </c>
      <c r="F191" s="47">
        <v>43277</v>
      </c>
    </row>
    <row r="192" spans="1:6" s="35" customFormat="1" x14ac:dyDescent="0.3">
      <c r="A192" s="33">
        <v>469346</v>
      </c>
      <c r="B192" s="42" t="s">
        <v>1626</v>
      </c>
      <c r="C192" s="34" t="s">
        <v>1629</v>
      </c>
      <c r="D192" s="43" t="s">
        <v>25</v>
      </c>
      <c r="E192" s="42" t="s">
        <v>5</v>
      </c>
      <c r="F192" s="47">
        <v>43277</v>
      </c>
    </row>
    <row r="193" spans="1:6" s="35" customFormat="1" x14ac:dyDescent="0.3">
      <c r="A193" s="33">
        <v>539015</v>
      </c>
      <c r="B193" s="42" t="s">
        <v>1623</v>
      </c>
      <c r="C193" s="34" t="s">
        <v>1624</v>
      </c>
      <c r="D193" s="43" t="s">
        <v>25</v>
      </c>
      <c r="E193" s="42" t="s">
        <v>5</v>
      </c>
      <c r="F193" s="47">
        <v>43277</v>
      </c>
    </row>
    <row r="194" spans="1:6" s="35" customFormat="1" x14ac:dyDescent="0.3">
      <c r="A194" s="33">
        <v>539031</v>
      </c>
      <c r="B194" s="42" t="s">
        <v>1609</v>
      </c>
      <c r="C194" s="34" t="s">
        <v>1619</v>
      </c>
      <c r="D194" s="43" t="s">
        <v>76</v>
      </c>
      <c r="E194" s="42" t="s">
        <v>5</v>
      </c>
      <c r="F194" s="47">
        <v>43277</v>
      </c>
    </row>
    <row r="195" spans="1:6" s="35" customFormat="1" x14ac:dyDescent="0.3">
      <c r="A195" s="33">
        <v>359869</v>
      </c>
      <c r="B195" s="42" t="s">
        <v>1610</v>
      </c>
      <c r="C195" s="34" t="s">
        <v>1618</v>
      </c>
      <c r="D195" s="43" t="s">
        <v>48</v>
      </c>
      <c r="E195" s="42" t="s">
        <v>377</v>
      </c>
      <c r="F195" s="47">
        <v>43277</v>
      </c>
    </row>
    <row r="196" spans="1:6" s="35" customFormat="1" x14ac:dyDescent="0.3">
      <c r="A196" s="33">
        <v>198374</v>
      </c>
      <c r="B196" s="42" t="s">
        <v>1611</v>
      </c>
      <c r="C196" s="34" t="s">
        <v>1617</v>
      </c>
      <c r="D196" s="43" t="s">
        <v>48</v>
      </c>
      <c r="E196" s="42" t="s">
        <v>377</v>
      </c>
      <c r="F196" s="47">
        <v>43277</v>
      </c>
    </row>
    <row r="197" spans="1:6" s="35" customFormat="1" x14ac:dyDescent="0.3">
      <c r="A197" s="33">
        <v>354381</v>
      </c>
      <c r="B197" s="42" t="s">
        <v>1615</v>
      </c>
      <c r="C197" s="34" t="s">
        <v>1616</v>
      </c>
      <c r="D197" s="43" t="s">
        <v>37</v>
      </c>
      <c r="E197" s="42" t="s">
        <v>377</v>
      </c>
      <c r="F197" s="47">
        <v>43277</v>
      </c>
    </row>
    <row r="198" spans="1:6" s="35" customFormat="1" x14ac:dyDescent="0.3">
      <c r="A198" s="33">
        <v>615013</v>
      </c>
      <c r="B198" s="42" t="s">
        <v>1608</v>
      </c>
      <c r="C198" s="34" t="s">
        <v>1614</v>
      </c>
      <c r="D198" s="43" t="s">
        <v>48</v>
      </c>
      <c r="E198" s="42" t="s">
        <v>377</v>
      </c>
      <c r="F198" s="47" t="s">
        <v>860</v>
      </c>
    </row>
    <row r="199" spans="1:6" s="35" customFormat="1" x14ac:dyDescent="0.3">
      <c r="A199" s="33">
        <v>490466</v>
      </c>
      <c r="B199" s="42" t="s">
        <v>1613</v>
      </c>
      <c r="C199" s="34" t="s">
        <v>1607</v>
      </c>
      <c r="D199" s="43" t="s">
        <v>25</v>
      </c>
      <c r="E199" s="9" t="s">
        <v>1606</v>
      </c>
      <c r="F199" s="47">
        <v>43277</v>
      </c>
    </row>
    <row r="200" spans="1:6" s="35" customFormat="1" x14ac:dyDescent="0.3">
      <c r="A200" s="33">
        <v>569038</v>
      </c>
      <c r="B200" s="42" t="s">
        <v>1612</v>
      </c>
      <c r="C200" s="34" t="s">
        <v>1605</v>
      </c>
      <c r="D200" s="43" t="s">
        <v>25</v>
      </c>
      <c r="E200" s="21" t="s">
        <v>86</v>
      </c>
      <c r="F200" s="47">
        <v>43277</v>
      </c>
    </row>
    <row r="201" spans="1:6" s="35" customFormat="1" x14ac:dyDescent="0.3">
      <c r="A201" s="33">
        <v>535286</v>
      </c>
      <c r="B201" s="42" t="s">
        <v>1621</v>
      </c>
      <c r="C201" s="34" t="s">
        <v>1622</v>
      </c>
      <c r="D201" s="43" t="s">
        <v>1620</v>
      </c>
      <c r="E201" s="42" t="s">
        <v>5</v>
      </c>
      <c r="F201" s="47" t="s">
        <v>860</v>
      </c>
    </row>
    <row r="202" spans="1:6" s="35" customFormat="1" x14ac:dyDescent="0.3">
      <c r="A202" s="33">
        <v>418590</v>
      </c>
      <c r="B202" s="42" t="s">
        <v>1630</v>
      </c>
      <c r="C202" s="34" t="s">
        <v>1636</v>
      </c>
      <c r="D202" s="43" t="s">
        <v>37</v>
      </c>
      <c r="E202" s="42" t="s">
        <v>1304</v>
      </c>
      <c r="F202" s="47">
        <v>43270</v>
      </c>
    </row>
    <row r="203" spans="1:6" s="35" customFormat="1" x14ac:dyDescent="0.3">
      <c r="A203" s="33">
        <v>374546</v>
      </c>
      <c r="B203" s="42" t="s">
        <v>1634</v>
      </c>
      <c r="C203" s="34" t="s">
        <v>1635</v>
      </c>
      <c r="D203" s="43" t="s">
        <v>25</v>
      </c>
      <c r="E203" s="42" t="s">
        <v>1304</v>
      </c>
      <c r="F203" s="47">
        <v>43270</v>
      </c>
    </row>
    <row r="204" spans="1:6" s="35" customFormat="1" x14ac:dyDescent="0.3">
      <c r="A204" s="33">
        <v>449348</v>
      </c>
      <c r="B204" s="42" t="s">
        <v>1591</v>
      </c>
      <c r="C204" s="34" t="s">
        <v>1604</v>
      </c>
      <c r="D204" s="43" t="s">
        <v>106</v>
      </c>
      <c r="E204" s="42" t="s">
        <v>5</v>
      </c>
      <c r="F204" s="47">
        <v>43270</v>
      </c>
    </row>
    <row r="205" spans="1:6" s="35" customFormat="1" x14ac:dyDescent="0.3">
      <c r="A205" s="33">
        <v>458380</v>
      </c>
      <c r="B205" s="42" t="s">
        <v>1592</v>
      </c>
      <c r="C205" s="34" t="s">
        <v>1603</v>
      </c>
      <c r="D205" s="43" t="s">
        <v>25</v>
      </c>
      <c r="E205" s="42" t="s">
        <v>5</v>
      </c>
      <c r="F205" s="47">
        <v>43270</v>
      </c>
    </row>
    <row r="206" spans="1:6" s="35" customFormat="1" x14ac:dyDescent="0.3">
      <c r="A206" s="33">
        <v>508010</v>
      </c>
      <c r="B206" s="42" t="s">
        <v>1593</v>
      </c>
      <c r="C206" s="34" t="s">
        <v>1602</v>
      </c>
      <c r="D206" s="43" t="s">
        <v>37</v>
      </c>
      <c r="E206" s="42" t="s">
        <v>5</v>
      </c>
      <c r="F206" s="47">
        <v>43270</v>
      </c>
    </row>
    <row r="207" spans="1:6" s="35" customFormat="1" x14ac:dyDescent="0.3">
      <c r="A207" s="33">
        <v>516286</v>
      </c>
      <c r="B207" s="42" t="s">
        <v>1594</v>
      </c>
      <c r="C207" s="34" t="s">
        <v>1601</v>
      </c>
      <c r="D207" s="43" t="s">
        <v>37</v>
      </c>
      <c r="E207" s="42" t="s">
        <v>5</v>
      </c>
      <c r="F207" s="47">
        <v>43270</v>
      </c>
    </row>
    <row r="208" spans="1:6" s="35" customFormat="1" x14ac:dyDescent="0.3">
      <c r="A208" s="33">
        <v>516773</v>
      </c>
      <c r="B208" s="42" t="s">
        <v>1595</v>
      </c>
      <c r="C208" s="34" t="s">
        <v>1596</v>
      </c>
      <c r="D208" s="43" t="s">
        <v>98</v>
      </c>
      <c r="E208" s="42" t="s">
        <v>5</v>
      </c>
      <c r="F208" s="47">
        <v>43270</v>
      </c>
    </row>
    <row r="209" spans="1:6" s="35" customFormat="1" x14ac:dyDescent="0.3">
      <c r="A209" s="33">
        <v>198358</v>
      </c>
      <c r="B209" s="42" t="s">
        <v>1590</v>
      </c>
      <c r="C209" s="34" t="s">
        <v>1597</v>
      </c>
      <c r="D209" s="43" t="s">
        <v>25</v>
      </c>
      <c r="E209" s="42" t="s">
        <v>5</v>
      </c>
      <c r="F209" s="47">
        <v>43270</v>
      </c>
    </row>
    <row r="210" spans="1:6" s="35" customFormat="1" x14ac:dyDescent="0.3">
      <c r="A210" s="33">
        <v>499111</v>
      </c>
      <c r="B210" s="42" t="s">
        <v>1598</v>
      </c>
      <c r="C210" s="34" t="s">
        <v>1599</v>
      </c>
      <c r="D210" s="43" t="s">
        <v>137</v>
      </c>
      <c r="E210" s="42" t="s">
        <v>1600</v>
      </c>
      <c r="F210" s="47">
        <v>43270</v>
      </c>
    </row>
    <row r="211" spans="1:6" s="35" customFormat="1" x14ac:dyDescent="0.3">
      <c r="A211" s="33">
        <v>449322</v>
      </c>
      <c r="B211" s="42" t="s">
        <v>1588</v>
      </c>
      <c r="C211" s="34" t="s">
        <v>1589</v>
      </c>
      <c r="D211" s="43" t="s">
        <v>48</v>
      </c>
      <c r="E211" s="42" t="s">
        <v>5</v>
      </c>
      <c r="F211" s="47" t="s">
        <v>860</v>
      </c>
    </row>
    <row r="212" spans="1:6" s="35" customFormat="1" x14ac:dyDescent="0.3">
      <c r="A212" s="33">
        <v>463489</v>
      </c>
      <c r="B212" s="42" t="s">
        <v>1586</v>
      </c>
      <c r="C212" s="34" t="s">
        <v>1587</v>
      </c>
      <c r="D212" s="43" t="s">
        <v>106</v>
      </c>
      <c r="E212" s="42" t="s">
        <v>5</v>
      </c>
      <c r="F212" s="47">
        <v>43270</v>
      </c>
    </row>
    <row r="213" spans="1:6" s="35" customFormat="1" x14ac:dyDescent="0.3">
      <c r="A213" s="33">
        <v>449769</v>
      </c>
      <c r="B213" s="42" t="s">
        <v>1584</v>
      </c>
      <c r="C213" s="34" t="s">
        <v>1585</v>
      </c>
      <c r="D213" s="43" t="s">
        <v>37</v>
      </c>
      <c r="E213" s="42" t="s">
        <v>5</v>
      </c>
      <c r="F213" s="47">
        <v>43270</v>
      </c>
    </row>
    <row r="214" spans="1:6" s="35" customFormat="1" x14ac:dyDescent="0.3">
      <c r="A214" s="33">
        <v>679506</v>
      </c>
      <c r="B214" s="42" t="s">
        <v>1582</v>
      </c>
      <c r="C214" s="34" t="s">
        <v>1583</v>
      </c>
      <c r="D214" s="43" t="s">
        <v>37</v>
      </c>
      <c r="E214" s="42" t="s">
        <v>5</v>
      </c>
      <c r="F214" s="47">
        <v>43270</v>
      </c>
    </row>
    <row r="215" spans="1:6" s="35" customFormat="1" x14ac:dyDescent="0.3">
      <c r="A215" s="33">
        <v>275834</v>
      </c>
      <c r="B215" s="42" t="s">
        <v>1580</v>
      </c>
      <c r="C215" s="34" t="s">
        <v>1581</v>
      </c>
      <c r="D215" s="43" t="s">
        <v>202</v>
      </c>
      <c r="E215" s="42" t="s">
        <v>377</v>
      </c>
      <c r="F215" s="47">
        <v>43270</v>
      </c>
    </row>
    <row r="216" spans="1:6" s="35" customFormat="1" x14ac:dyDescent="0.3">
      <c r="A216" s="33">
        <v>499525</v>
      </c>
      <c r="B216" s="42" t="s">
        <v>1578</v>
      </c>
      <c r="C216" s="34" t="s">
        <v>1579</v>
      </c>
      <c r="D216" s="43" t="s">
        <v>76</v>
      </c>
      <c r="E216" s="42" t="s">
        <v>5</v>
      </c>
      <c r="F216" s="47">
        <v>43263</v>
      </c>
    </row>
    <row r="217" spans="1:6" s="35" customFormat="1" x14ac:dyDescent="0.3">
      <c r="A217" s="33">
        <v>416958</v>
      </c>
      <c r="B217" s="42" t="s">
        <v>1574</v>
      </c>
      <c r="C217" s="34" t="s">
        <v>1575</v>
      </c>
      <c r="D217" s="43" t="s">
        <v>48</v>
      </c>
      <c r="E217" s="42" t="s">
        <v>1576</v>
      </c>
      <c r="F217" s="47">
        <v>43263</v>
      </c>
    </row>
    <row r="218" spans="1:6" s="35" customFormat="1" x14ac:dyDescent="0.3">
      <c r="A218" s="33">
        <v>64634</v>
      </c>
      <c r="B218" s="42" t="s">
        <v>1570</v>
      </c>
      <c r="C218" s="34" t="s">
        <v>1571</v>
      </c>
      <c r="D218" s="43" t="s">
        <v>25</v>
      </c>
      <c r="E218" s="42" t="s">
        <v>1304</v>
      </c>
      <c r="F218" s="47" t="s">
        <v>860</v>
      </c>
    </row>
    <row r="219" spans="1:6" s="35" customFormat="1" x14ac:dyDescent="0.3">
      <c r="A219" s="33">
        <v>64642</v>
      </c>
      <c r="B219" s="42" t="s">
        <v>1573</v>
      </c>
      <c r="C219" s="34" t="s">
        <v>1572</v>
      </c>
      <c r="D219" s="43" t="s">
        <v>25</v>
      </c>
      <c r="E219" s="42" t="s">
        <v>1304</v>
      </c>
      <c r="F219" s="47" t="s">
        <v>860</v>
      </c>
    </row>
    <row r="220" spans="1:6" s="35" customFormat="1" x14ac:dyDescent="0.3">
      <c r="A220" s="33">
        <v>415059</v>
      </c>
      <c r="B220" s="42" t="s">
        <v>1577</v>
      </c>
      <c r="C220" s="34" t="s">
        <v>1567</v>
      </c>
      <c r="D220" s="43" t="s">
        <v>25</v>
      </c>
      <c r="E220" s="42" t="s">
        <v>1304</v>
      </c>
      <c r="F220" s="47" t="s">
        <v>860</v>
      </c>
    </row>
    <row r="221" spans="1:6" s="35" customFormat="1" x14ac:dyDescent="0.3">
      <c r="A221" s="33">
        <v>449264</v>
      </c>
      <c r="B221" s="42" t="s">
        <v>1568</v>
      </c>
      <c r="C221" s="34" t="s">
        <v>1569</v>
      </c>
      <c r="D221" s="43" t="s">
        <v>25</v>
      </c>
      <c r="E221" s="42" t="s">
        <v>5</v>
      </c>
      <c r="F221" s="47" t="s">
        <v>860</v>
      </c>
    </row>
    <row r="222" spans="1:6" s="35" customFormat="1" x14ac:dyDescent="0.3">
      <c r="A222" s="33">
        <v>494823</v>
      </c>
      <c r="B222" s="42" t="s">
        <v>1565</v>
      </c>
      <c r="C222" s="34" t="s">
        <v>1566</v>
      </c>
      <c r="D222" s="43" t="s">
        <v>25</v>
      </c>
      <c r="E222" s="42" t="s">
        <v>1304</v>
      </c>
      <c r="F222" s="47" t="s">
        <v>860</v>
      </c>
    </row>
    <row r="223" spans="1:6" s="35" customFormat="1" ht="27.95" x14ac:dyDescent="0.3">
      <c r="A223" s="33">
        <v>370361</v>
      </c>
      <c r="B223" s="42" t="s">
        <v>1562</v>
      </c>
      <c r="C223" s="34" t="s">
        <v>1563</v>
      </c>
      <c r="D223" s="43" t="s">
        <v>202</v>
      </c>
      <c r="E223" s="55" t="s">
        <v>1564</v>
      </c>
      <c r="F223" s="47">
        <v>43263</v>
      </c>
    </row>
    <row r="224" spans="1:6" s="35" customFormat="1" ht="27.95" x14ac:dyDescent="0.3">
      <c r="A224" s="33">
        <v>419945</v>
      </c>
      <c r="B224" s="42" t="s">
        <v>1556</v>
      </c>
      <c r="C224" s="34" t="s">
        <v>1558</v>
      </c>
      <c r="D224" s="43" t="s">
        <v>202</v>
      </c>
      <c r="E224" s="55" t="s">
        <v>1559</v>
      </c>
      <c r="F224" s="47">
        <v>43263</v>
      </c>
    </row>
    <row r="225" spans="1:6" s="35" customFormat="1" ht="27.95" x14ac:dyDescent="0.3">
      <c r="A225" s="33">
        <v>469304</v>
      </c>
      <c r="B225" s="42" t="s">
        <v>1557</v>
      </c>
      <c r="C225" s="34" t="s">
        <v>1560</v>
      </c>
      <c r="D225" s="43" t="s">
        <v>202</v>
      </c>
      <c r="E225" s="55" t="s">
        <v>1561</v>
      </c>
      <c r="F225" s="47">
        <v>43263</v>
      </c>
    </row>
    <row r="226" spans="1:6" s="35" customFormat="1" x14ac:dyDescent="0.3">
      <c r="A226" s="33">
        <v>522854</v>
      </c>
      <c r="B226" s="42" t="s">
        <v>1552</v>
      </c>
      <c r="C226" s="34" t="s">
        <v>1555</v>
      </c>
      <c r="D226" s="43" t="s">
        <v>37</v>
      </c>
      <c r="E226" s="42" t="s">
        <v>5</v>
      </c>
      <c r="F226" s="47">
        <v>43263</v>
      </c>
    </row>
    <row r="227" spans="1:6" s="35" customFormat="1" x14ac:dyDescent="0.3">
      <c r="A227" s="33">
        <v>284463</v>
      </c>
      <c r="B227" s="42" t="s">
        <v>1554</v>
      </c>
      <c r="C227" s="34" t="s">
        <v>1553</v>
      </c>
      <c r="D227" s="43" t="s">
        <v>48</v>
      </c>
      <c r="E227" s="42" t="s">
        <v>377</v>
      </c>
      <c r="F227" s="47">
        <v>43263</v>
      </c>
    </row>
    <row r="228" spans="1:6" s="35" customFormat="1" x14ac:dyDescent="0.3">
      <c r="A228" s="33">
        <v>136028</v>
      </c>
      <c r="B228" s="42" t="s">
        <v>1550</v>
      </c>
      <c r="C228" s="34" t="s">
        <v>1551</v>
      </c>
      <c r="D228" s="43" t="s">
        <v>202</v>
      </c>
      <c r="E228" s="42" t="s">
        <v>377</v>
      </c>
      <c r="F228" s="47">
        <v>43263</v>
      </c>
    </row>
    <row r="229" spans="1:6" s="35" customFormat="1" x14ac:dyDescent="0.3">
      <c r="A229" s="33">
        <v>433557</v>
      </c>
      <c r="B229" s="42" t="s">
        <v>1528</v>
      </c>
      <c r="C229" s="34" t="s">
        <v>1549</v>
      </c>
      <c r="D229" s="43" t="s">
        <v>1537</v>
      </c>
      <c r="E229" s="42" t="s">
        <v>377</v>
      </c>
      <c r="F229" s="47">
        <v>43256</v>
      </c>
    </row>
    <row r="230" spans="1:6" s="35" customFormat="1" x14ac:dyDescent="0.3">
      <c r="A230" s="33">
        <v>433508</v>
      </c>
      <c r="B230" s="42" t="s">
        <v>1529</v>
      </c>
      <c r="C230" s="34" t="s">
        <v>1548</v>
      </c>
      <c r="D230" s="43" t="s">
        <v>1537</v>
      </c>
      <c r="E230" s="42" t="s">
        <v>377</v>
      </c>
      <c r="F230" s="47">
        <v>43256</v>
      </c>
    </row>
    <row r="231" spans="1:6" s="35" customFormat="1" x14ac:dyDescent="0.3">
      <c r="A231" s="33">
        <v>493627</v>
      </c>
      <c r="B231" s="42" t="s">
        <v>1530</v>
      </c>
      <c r="C231" s="34" t="s">
        <v>1547</v>
      </c>
      <c r="D231" s="43" t="s">
        <v>29</v>
      </c>
      <c r="E231" s="42" t="s">
        <v>377</v>
      </c>
      <c r="F231" s="47">
        <v>43256</v>
      </c>
    </row>
    <row r="232" spans="1:6" s="35" customFormat="1" x14ac:dyDescent="0.3">
      <c r="A232" s="33">
        <v>482067</v>
      </c>
      <c r="B232" s="42" t="s">
        <v>1531</v>
      </c>
      <c r="C232" s="34" t="s">
        <v>1546</v>
      </c>
      <c r="D232" s="43" t="s">
        <v>555</v>
      </c>
      <c r="E232" s="42" t="s">
        <v>377</v>
      </c>
      <c r="F232" s="47" t="s">
        <v>860</v>
      </c>
    </row>
    <row r="233" spans="1:6" s="35" customFormat="1" x14ac:dyDescent="0.3">
      <c r="A233" s="33">
        <v>627463</v>
      </c>
      <c r="B233" s="42" t="s">
        <v>1532</v>
      </c>
      <c r="C233" s="34" t="s">
        <v>1545</v>
      </c>
      <c r="D233" s="43" t="s">
        <v>1538</v>
      </c>
      <c r="E233" s="42" t="s">
        <v>377</v>
      </c>
      <c r="F233" s="47">
        <v>43256</v>
      </c>
    </row>
    <row r="234" spans="1:6" s="35" customFormat="1" x14ac:dyDescent="0.3">
      <c r="A234" s="33">
        <v>441782</v>
      </c>
      <c r="B234" s="42" t="s">
        <v>1533</v>
      </c>
      <c r="C234" s="34" t="s">
        <v>1544</v>
      </c>
      <c r="D234" s="43" t="s">
        <v>1539</v>
      </c>
      <c r="E234" s="42" t="s">
        <v>377</v>
      </c>
      <c r="F234" s="47">
        <v>43256</v>
      </c>
    </row>
    <row r="235" spans="1:6" s="35" customFormat="1" x14ac:dyDescent="0.3">
      <c r="A235" s="33">
        <v>238378</v>
      </c>
      <c r="B235" s="42" t="s">
        <v>1534</v>
      </c>
      <c r="C235" s="34" t="s">
        <v>1543</v>
      </c>
      <c r="D235" s="43" t="s">
        <v>29</v>
      </c>
      <c r="E235" s="42" t="s">
        <v>377</v>
      </c>
      <c r="F235" s="47">
        <v>43256</v>
      </c>
    </row>
    <row r="236" spans="1:6" s="35" customFormat="1" x14ac:dyDescent="0.3">
      <c r="A236" s="33">
        <v>413518</v>
      </c>
      <c r="B236" s="42" t="s">
        <v>1535</v>
      </c>
      <c r="C236" s="34" t="s">
        <v>1542</v>
      </c>
      <c r="D236" s="43" t="s">
        <v>1538</v>
      </c>
      <c r="E236" s="42" t="s">
        <v>377</v>
      </c>
      <c r="F236" s="47">
        <v>43256</v>
      </c>
    </row>
    <row r="237" spans="1:6" s="35" customFormat="1" x14ac:dyDescent="0.3">
      <c r="A237" s="33">
        <v>456608</v>
      </c>
      <c r="B237" s="42" t="s">
        <v>1536</v>
      </c>
      <c r="C237" s="34" t="s">
        <v>1541</v>
      </c>
      <c r="D237" s="43" t="s">
        <v>1540</v>
      </c>
      <c r="E237" s="42" t="s">
        <v>377</v>
      </c>
      <c r="F237" s="47">
        <v>43256</v>
      </c>
    </row>
    <row r="238" spans="1:6" s="35" customFormat="1" x14ac:dyDescent="0.3">
      <c r="A238" s="33">
        <v>540773</v>
      </c>
      <c r="B238" s="42" t="s">
        <v>1526</v>
      </c>
      <c r="C238" s="34" t="s">
        <v>1527</v>
      </c>
      <c r="D238" s="43" t="s">
        <v>37</v>
      </c>
      <c r="E238" s="42" t="s">
        <v>377</v>
      </c>
      <c r="F238" s="47">
        <v>43256</v>
      </c>
    </row>
    <row r="239" spans="1:6" s="35" customFormat="1" x14ac:dyDescent="0.3">
      <c r="A239" s="33">
        <v>435693</v>
      </c>
      <c r="B239" s="42" t="s">
        <v>1522</v>
      </c>
      <c r="C239" s="34" t="s">
        <v>1525</v>
      </c>
      <c r="D239" s="43" t="s">
        <v>48</v>
      </c>
      <c r="E239" s="42" t="s">
        <v>377</v>
      </c>
      <c r="F239" s="47">
        <v>43256</v>
      </c>
    </row>
    <row r="240" spans="1:6" s="35" customFormat="1" x14ac:dyDescent="0.3">
      <c r="A240" s="33">
        <v>544809</v>
      </c>
      <c r="B240" s="42" t="s">
        <v>1521</v>
      </c>
      <c r="C240" s="34" t="s">
        <v>1524</v>
      </c>
      <c r="D240" s="43" t="s">
        <v>25</v>
      </c>
      <c r="E240" s="42" t="s">
        <v>377</v>
      </c>
      <c r="F240" s="47">
        <v>43256</v>
      </c>
    </row>
    <row r="241" spans="1:7" s="35" customFormat="1" x14ac:dyDescent="0.3">
      <c r="A241" s="33">
        <v>429738</v>
      </c>
      <c r="B241" s="42" t="s">
        <v>121</v>
      </c>
      <c r="C241" s="34" t="s">
        <v>1523</v>
      </c>
      <c r="D241" s="43" t="s">
        <v>25</v>
      </c>
      <c r="E241" s="42" t="s">
        <v>1304</v>
      </c>
      <c r="F241" s="47" t="s">
        <v>860</v>
      </c>
    </row>
    <row r="242" spans="1:7" s="35" customFormat="1" ht="27.95" x14ac:dyDescent="0.3">
      <c r="A242" s="33">
        <v>676106</v>
      </c>
      <c r="B242" s="42" t="s">
        <v>1510</v>
      </c>
      <c r="C242" s="34" t="s">
        <v>1512</v>
      </c>
      <c r="D242" s="43" t="s">
        <v>48</v>
      </c>
      <c r="E242" s="55" t="s">
        <v>1513</v>
      </c>
      <c r="F242" s="47">
        <v>43249</v>
      </c>
    </row>
    <row r="243" spans="1:7" s="35" customFormat="1" ht="27.95" x14ac:dyDescent="0.3">
      <c r="A243" s="33">
        <v>334052</v>
      </c>
      <c r="B243" s="42" t="s">
        <v>1511</v>
      </c>
      <c r="C243" s="34" t="s">
        <v>1514</v>
      </c>
      <c r="D243" s="43" t="s">
        <v>48</v>
      </c>
      <c r="E243" s="55" t="s">
        <v>1515</v>
      </c>
      <c r="F243" s="47">
        <v>43249</v>
      </c>
    </row>
    <row r="244" spans="1:7" s="35" customFormat="1" x14ac:dyDescent="0.3">
      <c r="A244" s="33">
        <v>573600</v>
      </c>
      <c r="B244" s="42" t="s">
        <v>1516</v>
      </c>
      <c r="C244" s="34" t="s">
        <v>1519</v>
      </c>
      <c r="D244" s="43" t="s">
        <v>555</v>
      </c>
      <c r="E244" s="9" t="s">
        <v>1298</v>
      </c>
      <c r="F244" s="47" t="s">
        <v>860</v>
      </c>
    </row>
    <row r="245" spans="1:7" s="35" customFormat="1" x14ac:dyDescent="0.3">
      <c r="A245" s="33">
        <v>573626</v>
      </c>
      <c r="B245" s="42" t="s">
        <v>1517</v>
      </c>
      <c r="C245" s="34" t="s">
        <v>1519</v>
      </c>
      <c r="D245" s="43" t="s">
        <v>555</v>
      </c>
      <c r="E245" s="9" t="s">
        <v>1298</v>
      </c>
      <c r="F245" s="47" t="s">
        <v>860</v>
      </c>
      <c r="G245" s="87"/>
    </row>
    <row r="246" spans="1:7" s="35" customFormat="1" x14ac:dyDescent="0.3">
      <c r="A246" s="33">
        <v>573774</v>
      </c>
      <c r="B246" s="42" t="s">
        <v>1518</v>
      </c>
      <c r="C246" s="34" t="s">
        <v>1520</v>
      </c>
      <c r="D246" s="43" t="s">
        <v>555</v>
      </c>
      <c r="E246" s="9" t="s">
        <v>1298</v>
      </c>
      <c r="F246" s="47" t="s">
        <v>860</v>
      </c>
      <c r="G246" s="87"/>
    </row>
    <row r="247" spans="1:7" s="35" customFormat="1" x14ac:dyDescent="0.3">
      <c r="A247" s="33">
        <v>524686</v>
      </c>
      <c r="B247" s="42" t="s">
        <v>1508</v>
      </c>
      <c r="C247" s="34" t="s">
        <v>1509</v>
      </c>
      <c r="D247" s="43" t="s">
        <v>1495</v>
      </c>
      <c r="E247" s="42" t="s">
        <v>1304</v>
      </c>
      <c r="F247" s="47" t="s">
        <v>860</v>
      </c>
      <c r="G247" s="87"/>
    </row>
    <row r="248" spans="1:7" s="35" customFormat="1" x14ac:dyDescent="0.3">
      <c r="A248" s="33">
        <v>575191</v>
      </c>
      <c r="B248" s="42" t="s">
        <v>1506</v>
      </c>
      <c r="C248" s="34" t="s">
        <v>1507</v>
      </c>
      <c r="D248" s="43" t="s">
        <v>98</v>
      </c>
      <c r="E248" s="42" t="s">
        <v>5</v>
      </c>
      <c r="F248" s="47">
        <v>43243</v>
      </c>
      <c r="G248" s="87"/>
    </row>
    <row r="249" spans="1:7" s="35" customFormat="1" x14ac:dyDescent="0.3">
      <c r="A249" s="33">
        <v>458968</v>
      </c>
      <c r="B249" s="42" t="s">
        <v>1504</v>
      </c>
      <c r="C249" s="34" t="s">
        <v>1505</v>
      </c>
      <c r="D249" s="43" t="s">
        <v>25</v>
      </c>
      <c r="E249" s="42" t="s">
        <v>1304</v>
      </c>
      <c r="F249" s="47" t="s">
        <v>860</v>
      </c>
      <c r="G249" s="87"/>
    </row>
    <row r="250" spans="1:7" s="35" customFormat="1" x14ac:dyDescent="0.3">
      <c r="A250" s="33">
        <v>486456</v>
      </c>
      <c r="B250" s="42" t="s">
        <v>1502</v>
      </c>
      <c r="C250" s="34" t="s">
        <v>1503</v>
      </c>
      <c r="D250" s="43" t="s">
        <v>1301</v>
      </c>
      <c r="E250" s="6" t="s">
        <v>1501</v>
      </c>
      <c r="F250" s="47" t="s">
        <v>860</v>
      </c>
      <c r="G250" s="87"/>
    </row>
    <row r="251" spans="1:7" s="35" customFormat="1" x14ac:dyDescent="0.3">
      <c r="A251" s="33">
        <v>454827</v>
      </c>
      <c r="B251" s="42" t="s">
        <v>1499</v>
      </c>
      <c r="C251" s="34" t="s">
        <v>1500</v>
      </c>
      <c r="D251" s="43" t="s">
        <v>202</v>
      </c>
      <c r="E251" s="6" t="s">
        <v>1501</v>
      </c>
      <c r="F251" s="47" t="s">
        <v>860</v>
      </c>
    </row>
    <row r="252" spans="1:7" s="35" customFormat="1" x14ac:dyDescent="0.3">
      <c r="A252" s="33">
        <v>469999</v>
      </c>
      <c r="B252" s="42" t="s">
        <v>1497</v>
      </c>
      <c r="C252" s="34" t="s">
        <v>1498</v>
      </c>
      <c r="D252" s="43" t="s">
        <v>202</v>
      </c>
      <c r="E252" s="42" t="s">
        <v>377</v>
      </c>
      <c r="F252" s="47" t="s">
        <v>860</v>
      </c>
    </row>
    <row r="253" spans="1:7" s="35" customFormat="1" x14ac:dyDescent="0.3">
      <c r="A253" s="33">
        <v>524678</v>
      </c>
      <c r="B253" s="42" t="s">
        <v>1494</v>
      </c>
      <c r="C253" s="34" t="s">
        <v>1496</v>
      </c>
      <c r="D253" s="43" t="s">
        <v>1495</v>
      </c>
      <c r="E253" s="42" t="s">
        <v>377</v>
      </c>
      <c r="F253" s="47" t="s">
        <v>860</v>
      </c>
    </row>
    <row r="254" spans="1:7" s="35" customFormat="1" x14ac:dyDescent="0.3">
      <c r="A254" s="33">
        <v>549683</v>
      </c>
      <c r="B254" s="42" t="s">
        <v>1492</v>
      </c>
      <c r="C254" s="34" t="s">
        <v>1299</v>
      </c>
      <c r="D254" s="43" t="s">
        <v>25</v>
      </c>
      <c r="E254" s="42" t="s">
        <v>377</v>
      </c>
      <c r="F254" s="47">
        <v>43235</v>
      </c>
    </row>
    <row r="255" spans="1:7" s="35" customFormat="1" x14ac:dyDescent="0.3">
      <c r="A255" s="33">
        <v>515668</v>
      </c>
      <c r="B255" s="42" t="s">
        <v>1491</v>
      </c>
      <c r="C255" s="34" t="s">
        <v>1490</v>
      </c>
      <c r="D255" s="43" t="s">
        <v>25</v>
      </c>
      <c r="E255" s="42" t="s">
        <v>5</v>
      </c>
      <c r="F255" s="47">
        <v>43235</v>
      </c>
    </row>
    <row r="256" spans="1:7" s="35" customFormat="1" x14ac:dyDescent="0.3">
      <c r="A256" s="33">
        <v>463430</v>
      </c>
      <c r="B256" s="42" t="s">
        <v>1484</v>
      </c>
      <c r="C256" s="88" t="s">
        <v>1485</v>
      </c>
      <c r="D256" s="43" t="s">
        <v>25</v>
      </c>
      <c r="E256" s="42" t="s">
        <v>1489</v>
      </c>
      <c r="F256" s="47">
        <v>43235</v>
      </c>
    </row>
    <row r="257" spans="1:7" s="35" customFormat="1" x14ac:dyDescent="0.3">
      <c r="A257" s="33">
        <v>454025</v>
      </c>
      <c r="B257" s="42" t="s">
        <v>1482</v>
      </c>
      <c r="C257" s="34" t="s">
        <v>1483</v>
      </c>
      <c r="D257" s="43" t="s">
        <v>25</v>
      </c>
      <c r="E257" s="42" t="s">
        <v>5</v>
      </c>
      <c r="F257" s="47">
        <v>43235</v>
      </c>
    </row>
    <row r="258" spans="1:7" s="35" customFormat="1" x14ac:dyDescent="0.3">
      <c r="A258" s="33">
        <v>499590</v>
      </c>
      <c r="B258" s="42" t="s">
        <v>1477</v>
      </c>
      <c r="C258" s="34" t="s">
        <v>1486</v>
      </c>
      <c r="D258" s="43" t="s">
        <v>25</v>
      </c>
      <c r="E258" s="42" t="s">
        <v>1343</v>
      </c>
      <c r="F258" s="47">
        <v>43235</v>
      </c>
    </row>
    <row r="259" spans="1:7" s="35" customFormat="1" x14ac:dyDescent="0.3">
      <c r="A259" s="33">
        <v>414953</v>
      </c>
      <c r="B259" s="42" t="s">
        <v>1478</v>
      </c>
      <c r="C259" s="34" t="s">
        <v>1487</v>
      </c>
      <c r="D259" s="43" t="s">
        <v>25</v>
      </c>
      <c r="E259" s="42" t="s">
        <v>1343</v>
      </c>
      <c r="F259" s="47">
        <v>43235</v>
      </c>
    </row>
    <row r="260" spans="1:7" s="35" customFormat="1" x14ac:dyDescent="0.3">
      <c r="A260" s="33">
        <v>464750</v>
      </c>
      <c r="B260" s="42" t="s">
        <v>1449</v>
      </c>
      <c r="C260" s="34" t="s">
        <v>1488</v>
      </c>
      <c r="D260" s="43" t="s">
        <v>25</v>
      </c>
      <c r="E260" s="42" t="s">
        <v>1343</v>
      </c>
      <c r="F260" s="47">
        <v>43235</v>
      </c>
      <c r="G260" s="87"/>
    </row>
    <row r="261" spans="1:7" s="35" customFormat="1" x14ac:dyDescent="0.3">
      <c r="A261" s="33">
        <v>404301</v>
      </c>
      <c r="B261" s="42" t="s">
        <v>1479</v>
      </c>
      <c r="C261" s="34" t="s">
        <v>418</v>
      </c>
      <c r="D261" s="43" t="s">
        <v>106</v>
      </c>
      <c r="E261" s="42" t="s">
        <v>1343</v>
      </c>
      <c r="F261" s="47">
        <v>43235</v>
      </c>
      <c r="G261" s="87"/>
    </row>
    <row r="262" spans="1:7" s="35" customFormat="1" x14ac:dyDescent="0.3">
      <c r="A262" s="33">
        <v>404327</v>
      </c>
      <c r="B262" s="42" t="s">
        <v>1480</v>
      </c>
      <c r="C262" s="34" t="s">
        <v>420</v>
      </c>
      <c r="D262" s="43" t="s">
        <v>106</v>
      </c>
      <c r="E262" s="42" t="s">
        <v>1343</v>
      </c>
      <c r="F262" s="47">
        <v>43235</v>
      </c>
    </row>
    <row r="263" spans="1:7" s="35" customFormat="1" x14ac:dyDescent="0.3">
      <c r="A263" s="33">
        <v>464107</v>
      </c>
      <c r="B263" s="42" t="s">
        <v>1481</v>
      </c>
      <c r="C263" s="34" t="s">
        <v>434</v>
      </c>
      <c r="D263" s="43" t="s">
        <v>25</v>
      </c>
      <c r="E263" s="42" t="s">
        <v>1343</v>
      </c>
      <c r="F263" s="47">
        <v>43235</v>
      </c>
    </row>
    <row r="264" spans="1:7" s="35" customFormat="1" x14ac:dyDescent="0.3">
      <c r="A264" s="33">
        <v>547034</v>
      </c>
      <c r="B264" s="42" t="s">
        <v>1469</v>
      </c>
      <c r="C264" s="34" t="s">
        <v>1471</v>
      </c>
      <c r="D264" s="43" t="s">
        <v>76</v>
      </c>
      <c r="E264" s="21" t="s">
        <v>86</v>
      </c>
      <c r="F264" s="47">
        <v>43235</v>
      </c>
    </row>
    <row r="265" spans="1:7" s="35" customFormat="1" x14ac:dyDescent="0.3">
      <c r="A265" s="33">
        <v>540765</v>
      </c>
      <c r="B265" s="42" t="s">
        <v>1474</v>
      </c>
      <c r="C265" s="34" t="s">
        <v>1470</v>
      </c>
      <c r="D265" s="43" t="s">
        <v>76</v>
      </c>
      <c r="E265" s="21" t="s">
        <v>86</v>
      </c>
      <c r="F265" s="47">
        <v>43235</v>
      </c>
    </row>
    <row r="266" spans="1:7" s="35" customFormat="1" x14ac:dyDescent="0.3">
      <c r="A266" s="33">
        <v>329144</v>
      </c>
      <c r="B266" s="42" t="s">
        <v>1475</v>
      </c>
      <c r="C266" s="34" t="s">
        <v>1472</v>
      </c>
      <c r="D266" s="43" t="s">
        <v>76</v>
      </c>
      <c r="E266" s="21" t="s">
        <v>86</v>
      </c>
      <c r="F266" s="47">
        <v>43235</v>
      </c>
    </row>
    <row r="267" spans="1:7" s="35" customFormat="1" x14ac:dyDescent="0.3">
      <c r="A267" s="33">
        <v>365627</v>
      </c>
      <c r="B267" s="42" t="s">
        <v>1476</v>
      </c>
      <c r="C267" s="34" t="s">
        <v>1473</v>
      </c>
      <c r="D267" s="43" t="s">
        <v>76</v>
      </c>
      <c r="E267" s="21" t="s">
        <v>86</v>
      </c>
      <c r="F267" s="47">
        <v>43235</v>
      </c>
    </row>
    <row r="268" spans="1:7" s="35" customFormat="1" ht="27.95" x14ac:dyDescent="0.3">
      <c r="A268" s="33">
        <v>614909</v>
      </c>
      <c r="B268" s="42" t="s">
        <v>1467</v>
      </c>
      <c r="C268" s="34" t="s">
        <v>1466</v>
      </c>
      <c r="D268" s="43" t="s">
        <v>48</v>
      </c>
      <c r="E268" s="55" t="s">
        <v>1468</v>
      </c>
      <c r="F268" s="47">
        <v>43228</v>
      </c>
    </row>
    <row r="269" spans="1:7" s="35" customFormat="1" x14ac:dyDescent="0.3">
      <c r="A269" s="33">
        <v>459487</v>
      </c>
      <c r="B269" s="42" t="s">
        <v>283</v>
      </c>
      <c r="C269" s="34" t="s">
        <v>1465</v>
      </c>
      <c r="D269" s="43" t="s">
        <v>25</v>
      </c>
      <c r="E269" s="42" t="s">
        <v>1493</v>
      </c>
      <c r="F269" s="47">
        <v>43228</v>
      </c>
    </row>
    <row r="270" spans="1:7" s="35" customFormat="1" x14ac:dyDescent="0.3">
      <c r="A270" s="33">
        <v>420026</v>
      </c>
      <c r="B270" s="42" t="s">
        <v>1462</v>
      </c>
      <c r="C270" s="34" t="s">
        <v>1463</v>
      </c>
      <c r="D270" s="43" t="s">
        <v>25</v>
      </c>
      <c r="E270" s="42" t="s">
        <v>1464</v>
      </c>
      <c r="F270" s="47" t="s">
        <v>860</v>
      </c>
    </row>
    <row r="271" spans="1:7" s="35" customFormat="1" x14ac:dyDescent="0.3">
      <c r="A271" s="33">
        <v>449827</v>
      </c>
      <c r="B271" s="42" t="s">
        <v>1459</v>
      </c>
      <c r="C271" s="34" t="s">
        <v>1460</v>
      </c>
      <c r="D271" s="43" t="s">
        <v>48</v>
      </c>
      <c r="E271" s="55" t="s">
        <v>1461</v>
      </c>
      <c r="F271" s="47">
        <v>43228</v>
      </c>
    </row>
    <row r="272" spans="1:7" s="35" customFormat="1" x14ac:dyDescent="0.3">
      <c r="A272" s="33">
        <v>371849</v>
      </c>
      <c r="B272" s="42" t="s">
        <v>1454</v>
      </c>
      <c r="C272" s="34" t="s">
        <v>1455</v>
      </c>
      <c r="D272" s="43" t="s">
        <v>202</v>
      </c>
      <c r="E272" s="42" t="s">
        <v>1343</v>
      </c>
      <c r="F272" s="47" t="s">
        <v>860</v>
      </c>
    </row>
    <row r="273" spans="1:6" s="35" customFormat="1" x14ac:dyDescent="0.3">
      <c r="A273" s="33">
        <v>373001</v>
      </c>
      <c r="B273" s="42" t="s">
        <v>1451</v>
      </c>
      <c r="C273" s="34" t="s">
        <v>1456</v>
      </c>
      <c r="D273" s="43" t="s">
        <v>202</v>
      </c>
      <c r="E273" s="42" t="s">
        <v>1343</v>
      </c>
      <c r="F273" s="47" t="s">
        <v>860</v>
      </c>
    </row>
    <row r="274" spans="1:6" s="35" customFormat="1" x14ac:dyDescent="0.3">
      <c r="A274" s="33">
        <v>407486</v>
      </c>
      <c r="B274" s="42" t="s">
        <v>1452</v>
      </c>
      <c r="C274" s="34" t="s">
        <v>1457</v>
      </c>
      <c r="D274" s="43" t="s">
        <v>202</v>
      </c>
      <c r="E274" s="42" t="s">
        <v>1343</v>
      </c>
      <c r="F274" s="47" t="s">
        <v>860</v>
      </c>
    </row>
    <row r="275" spans="1:6" s="35" customFormat="1" x14ac:dyDescent="0.3">
      <c r="A275" s="33">
        <v>464750</v>
      </c>
      <c r="B275" s="42" t="s">
        <v>1449</v>
      </c>
      <c r="C275" s="34" t="s">
        <v>1450</v>
      </c>
      <c r="D275" s="43" t="s">
        <v>25</v>
      </c>
      <c r="E275" s="42" t="s">
        <v>1343</v>
      </c>
      <c r="F275" s="47">
        <v>43228</v>
      </c>
    </row>
    <row r="276" spans="1:6" s="35" customFormat="1" x14ac:dyDescent="0.3">
      <c r="A276" s="33">
        <v>219659</v>
      </c>
      <c r="B276" s="42" t="s">
        <v>1453</v>
      </c>
      <c r="C276" s="34" t="s">
        <v>1458</v>
      </c>
      <c r="D276" s="43" t="s">
        <v>25</v>
      </c>
      <c r="E276" s="21" t="s">
        <v>86</v>
      </c>
      <c r="F276" s="47" t="s">
        <v>860</v>
      </c>
    </row>
    <row r="277" spans="1:6" s="35" customFormat="1" x14ac:dyDescent="0.3">
      <c r="A277" s="33">
        <v>107722</v>
      </c>
      <c r="B277" s="42" t="s">
        <v>1442</v>
      </c>
      <c r="C277" s="34" t="s">
        <v>1441</v>
      </c>
      <c r="D277" s="43" t="s">
        <v>202</v>
      </c>
      <c r="E277" s="42" t="s">
        <v>1343</v>
      </c>
      <c r="F277" s="47">
        <v>43221</v>
      </c>
    </row>
    <row r="278" spans="1:6" s="35" customFormat="1" x14ac:dyDescent="0.3">
      <c r="A278" s="33">
        <v>356725</v>
      </c>
      <c r="B278" s="86" t="s">
        <v>1428</v>
      </c>
      <c r="C278" s="34" t="s">
        <v>1429</v>
      </c>
      <c r="D278" s="43" t="s">
        <v>202</v>
      </c>
      <c r="E278" s="42" t="s">
        <v>5</v>
      </c>
      <c r="F278" s="47" t="s">
        <v>860</v>
      </c>
    </row>
    <row r="279" spans="1:6" s="35" customFormat="1" x14ac:dyDescent="0.3">
      <c r="A279" s="33">
        <v>358986</v>
      </c>
      <c r="B279" s="86" t="s">
        <v>1430</v>
      </c>
      <c r="C279" s="34" t="s">
        <v>1431</v>
      </c>
      <c r="D279" s="43" t="s">
        <v>202</v>
      </c>
      <c r="E279" s="42" t="s">
        <v>5</v>
      </c>
      <c r="F279" s="47" t="s">
        <v>860</v>
      </c>
    </row>
    <row r="280" spans="1:6" s="35" customFormat="1" x14ac:dyDescent="0.3">
      <c r="A280" s="33">
        <v>392720</v>
      </c>
      <c r="B280" s="86" t="s">
        <v>1432</v>
      </c>
      <c r="C280" s="34" t="s">
        <v>1433</v>
      </c>
      <c r="D280" s="43" t="s">
        <v>202</v>
      </c>
      <c r="E280" s="42" t="s">
        <v>5</v>
      </c>
      <c r="F280" s="47" t="s">
        <v>860</v>
      </c>
    </row>
    <row r="281" spans="1:6" s="35" customFormat="1" x14ac:dyDescent="0.3">
      <c r="A281" s="33">
        <v>445783</v>
      </c>
      <c r="B281" s="42" t="s">
        <v>1434</v>
      </c>
      <c r="C281" s="34" t="s">
        <v>1435</v>
      </c>
      <c r="D281" s="43" t="s">
        <v>202</v>
      </c>
      <c r="E281" s="42" t="s">
        <v>5</v>
      </c>
      <c r="F281" s="47" t="s">
        <v>860</v>
      </c>
    </row>
    <row r="282" spans="1:6" s="35" customFormat="1" x14ac:dyDescent="0.3">
      <c r="A282" s="33">
        <v>93666</v>
      </c>
      <c r="B282" s="42" t="s">
        <v>1436</v>
      </c>
      <c r="C282" s="34" t="s">
        <v>1437</v>
      </c>
      <c r="D282" s="43" t="s">
        <v>202</v>
      </c>
      <c r="E282" s="42" t="s">
        <v>5</v>
      </c>
      <c r="F282" s="47" t="s">
        <v>860</v>
      </c>
    </row>
    <row r="283" spans="1:6" s="35" customFormat="1" x14ac:dyDescent="0.3">
      <c r="A283" s="33">
        <v>274480</v>
      </c>
      <c r="B283" s="42" t="s">
        <v>1438</v>
      </c>
      <c r="C283" s="34" t="s">
        <v>1439</v>
      </c>
      <c r="D283" s="43" t="s">
        <v>202</v>
      </c>
      <c r="E283" s="42" t="s">
        <v>5</v>
      </c>
      <c r="F283" s="47" t="s">
        <v>860</v>
      </c>
    </row>
    <row r="284" spans="1:6" s="35" customFormat="1" x14ac:dyDescent="0.3">
      <c r="A284" s="33">
        <v>332858</v>
      </c>
      <c r="B284" s="42" t="s">
        <v>1426</v>
      </c>
      <c r="C284" s="34" t="s">
        <v>1427</v>
      </c>
      <c r="D284" s="43" t="s">
        <v>202</v>
      </c>
      <c r="E284" s="42" t="s">
        <v>377</v>
      </c>
      <c r="F284" s="47" t="s">
        <v>860</v>
      </c>
    </row>
    <row r="285" spans="1:6" s="35" customFormat="1" x14ac:dyDescent="0.3">
      <c r="A285" s="33">
        <v>279638</v>
      </c>
      <c r="B285" s="42" t="s">
        <v>1421</v>
      </c>
      <c r="C285" s="34" t="s">
        <v>1440</v>
      </c>
      <c r="D285" s="43" t="s">
        <v>202</v>
      </c>
      <c r="E285" s="42" t="s">
        <v>377</v>
      </c>
      <c r="F285" s="47" t="s">
        <v>860</v>
      </c>
    </row>
    <row r="286" spans="1:6" s="35" customFormat="1" x14ac:dyDescent="0.3">
      <c r="A286" s="33">
        <v>343350</v>
      </c>
      <c r="B286" s="42" t="s">
        <v>1422</v>
      </c>
      <c r="C286" s="34" t="s">
        <v>1448</v>
      </c>
      <c r="D286" s="43" t="s">
        <v>202</v>
      </c>
      <c r="E286" s="42" t="s">
        <v>377</v>
      </c>
      <c r="F286" s="47" t="s">
        <v>860</v>
      </c>
    </row>
    <row r="287" spans="1:6" s="35" customFormat="1" x14ac:dyDescent="0.3">
      <c r="A287" s="33">
        <v>380030</v>
      </c>
      <c r="B287" s="42" t="s">
        <v>1423</v>
      </c>
      <c r="C287" s="34" t="s">
        <v>1447</v>
      </c>
      <c r="D287" s="43" t="s">
        <v>202</v>
      </c>
      <c r="E287" s="42" t="s">
        <v>377</v>
      </c>
      <c r="F287" s="47" t="s">
        <v>860</v>
      </c>
    </row>
    <row r="288" spans="1:6" s="35" customFormat="1" x14ac:dyDescent="0.3">
      <c r="A288" s="33">
        <v>393918</v>
      </c>
      <c r="B288" s="42" t="s">
        <v>1445</v>
      </c>
      <c r="C288" s="34" t="s">
        <v>1446</v>
      </c>
      <c r="D288" s="43" t="s">
        <v>202</v>
      </c>
      <c r="E288" s="42" t="s">
        <v>377</v>
      </c>
      <c r="F288" s="47" t="s">
        <v>860</v>
      </c>
    </row>
    <row r="289" spans="1:6" s="35" customFormat="1" x14ac:dyDescent="0.3">
      <c r="A289" s="33">
        <v>489260</v>
      </c>
      <c r="B289" s="42" t="s">
        <v>1424</v>
      </c>
      <c r="C289" s="34" t="s">
        <v>1444</v>
      </c>
      <c r="D289" s="43" t="s">
        <v>202</v>
      </c>
      <c r="E289" s="42" t="s">
        <v>377</v>
      </c>
      <c r="F289" s="47" t="s">
        <v>860</v>
      </c>
    </row>
    <row r="290" spans="1:6" s="35" customFormat="1" x14ac:dyDescent="0.3">
      <c r="A290" s="33">
        <v>452276</v>
      </c>
      <c r="B290" s="42" t="s">
        <v>1425</v>
      </c>
      <c r="C290" s="34" t="s">
        <v>1443</v>
      </c>
      <c r="D290" s="43" t="s">
        <v>202</v>
      </c>
      <c r="E290" s="42" t="s">
        <v>377</v>
      </c>
      <c r="F290" s="47" t="s">
        <v>860</v>
      </c>
    </row>
    <row r="291" spans="1:6" s="35" customFormat="1" x14ac:dyDescent="0.3">
      <c r="A291" s="33">
        <v>203034</v>
      </c>
      <c r="B291" s="86" t="s">
        <v>1397</v>
      </c>
      <c r="C291" s="91">
        <v>402492009262</v>
      </c>
      <c r="D291" s="43" t="s">
        <v>202</v>
      </c>
      <c r="E291" s="42" t="s">
        <v>377</v>
      </c>
      <c r="F291" s="47" t="s">
        <v>860</v>
      </c>
    </row>
    <row r="292" spans="1:6" s="35" customFormat="1" x14ac:dyDescent="0.3">
      <c r="A292" s="33">
        <v>395160</v>
      </c>
      <c r="B292" s="86" t="s">
        <v>1398</v>
      </c>
      <c r="C292" s="91">
        <v>402492014709</v>
      </c>
      <c r="D292" s="43" t="s">
        <v>202</v>
      </c>
      <c r="E292" s="42" t="s">
        <v>377</v>
      </c>
      <c r="F292" s="47" t="s">
        <v>860</v>
      </c>
    </row>
    <row r="293" spans="1:6" s="35" customFormat="1" x14ac:dyDescent="0.3">
      <c r="A293" s="33">
        <v>484014</v>
      </c>
      <c r="B293" s="86" t="s">
        <v>868</v>
      </c>
      <c r="C293" s="91">
        <v>693550001056</v>
      </c>
      <c r="D293" s="43" t="s">
        <v>202</v>
      </c>
      <c r="E293" s="42" t="s">
        <v>377</v>
      </c>
      <c r="F293" s="47" t="s">
        <v>860</v>
      </c>
    </row>
    <row r="294" spans="1:6" s="35" customFormat="1" x14ac:dyDescent="0.3">
      <c r="A294" s="33">
        <v>318402</v>
      </c>
      <c r="B294" s="86" t="s">
        <v>1399</v>
      </c>
      <c r="C294" s="91">
        <v>853698001114</v>
      </c>
      <c r="D294" s="43" t="s">
        <v>202</v>
      </c>
      <c r="E294" s="42" t="s">
        <v>377</v>
      </c>
      <c r="F294" s="47" t="s">
        <v>860</v>
      </c>
    </row>
    <row r="295" spans="1:6" s="35" customFormat="1" x14ac:dyDescent="0.3">
      <c r="A295" s="33">
        <v>453167</v>
      </c>
      <c r="B295" s="86" t="s">
        <v>260</v>
      </c>
      <c r="C295" s="91">
        <v>853698001053</v>
      </c>
      <c r="D295" s="43" t="s">
        <v>202</v>
      </c>
      <c r="E295" s="42" t="s">
        <v>377</v>
      </c>
      <c r="F295" s="47" t="s">
        <v>860</v>
      </c>
    </row>
    <row r="296" spans="1:6" s="35" customFormat="1" x14ac:dyDescent="0.3">
      <c r="A296" s="33">
        <v>492074</v>
      </c>
      <c r="B296" s="86" t="s">
        <v>1400</v>
      </c>
      <c r="C296" s="91">
        <v>853698001190</v>
      </c>
      <c r="D296" s="43" t="s">
        <v>202</v>
      </c>
      <c r="E296" s="42" t="s">
        <v>377</v>
      </c>
      <c r="F296" s="47" t="s">
        <v>860</v>
      </c>
    </row>
    <row r="297" spans="1:6" s="35" customFormat="1" x14ac:dyDescent="0.3">
      <c r="A297" s="33">
        <v>492082</v>
      </c>
      <c r="B297" s="86" t="s">
        <v>1401</v>
      </c>
      <c r="C297" s="91">
        <v>853698001244</v>
      </c>
      <c r="D297" s="43" t="s">
        <v>202</v>
      </c>
      <c r="E297" s="42" t="s">
        <v>377</v>
      </c>
      <c r="F297" s="47" t="s">
        <v>860</v>
      </c>
    </row>
    <row r="298" spans="1:6" s="35" customFormat="1" x14ac:dyDescent="0.3">
      <c r="A298" s="33">
        <v>492090</v>
      </c>
      <c r="B298" s="86" t="s">
        <v>1402</v>
      </c>
      <c r="C298" s="91">
        <v>853698001237</v>
      </c>
      <c r="D298" s="43" t="s">
        <v>202</v>
      </c>
      <c r="E298" s="42" t="s">
        <v>377</v>
      </c>
      <c r="F298" s="47" t="s">
        <v>860</v>
      </c>
    </row>
    <row r="299" spans="1:6" s="35" customFormat="1" x14ac:dyDescent="0.3">
      <c r="A299" s="33">
        <v>484048</v>
      </c>
      <c r="B299" s="86" t="s">
        <v>1403</v>
      </c>
      <c r="C299" s="91">
        <v>627222150025</v>
      </c>
      <c r="D299" s="43" t="s">
        <v>202</v>
      </c>
      <c r="E299" s="42" t="s">
        <v>377</v>
      </c>
      <c r="F299" s="47" t="s">
        <v>860</v>
      </c>
    </row>
    <row r="300" spans="1:6" s="35" customFormat="1" x14ac:dyDescent="0.3">
      <c r="A300" s="33">
        <v>346601</v>
      </c>
      <c r="B300" s="86" t="s">
        <v>1404</v>
      </c>
      <c r="C300" s="91">
        <v>627222111224</v>
      </c>
      <c r="D300" s="43" t="s">
        <v>202</v>
      </c>
      <c r="E300" s="42" t="s">
        <v>377</v>
      </c>
      <c r="F300" s="47" t="s">
        <v>860</v>
      </c>
    </row>
    <row r="301" spans="1:6" s="35" customFormat="1" x14ac:dyDescent="0.3">
      <c r="A301" s="33">
        <v>189688</v>
      </c>
      <c r="B301" s="86" t="s">
        <v>1405</v>
      </c>
      <c r="C301" s="91">
        <v>627857070002</v>
      </c>
      <c r="D301" s="43" t="s">
        <v>202</v>
      </c>
      <c r="E301" s="42" t="s">
        <v>377</v>
      </c>
      <c r="F301" s="47" t="s">
        <v>860</v>
      </c>
    </row>
    <row r="302" spans="1:6" s="35" customFormat="1" x14ac:dyDescent="0.3">
      <c r="A302" s="33">
        <v>287334</v>
      </c>
      <c r="B302" s="86" t="s">
        <v>1406</v>
      </c>
      <c r="C302" s="91">
        <v>624080020507</v>
      </c>
      <c r="D302" s="43" t="s">
        <v>202</v>
      </c>
      <c r="E302" s="42" t="s">
        <v>377</v>
      </c>
      <c r="F302" s="47" t="s">
        <v>860</v>
      </c>
    </row>
    <row r="303" spans="1:6" s="35" customFormat="1" x14ac:dyDescent="0.3">
      <c r="A303" s="33">
        <v>491928</v>
      </c>
      <c r="B303" s="86" t="s">
        <v>1407</v>
      </c>
      <c r="C303" s="91">
        <v>624080023003</v>
      </c>
      <c r="D303" s="43" t="s">
        <v>202</v>
      </c>
      <c r="E303" s="42" t="s">
        <v>377</v>
      </c>
      <c r="F303" s="47" t="s">
        <v>860</v>
      </c>
    </row>
    <row r="304" spans="1:6" s="35" customFormat="1" x14ac:dyDescent="0.3">
      <c r="A304" s="33">
        <v>492108</v>
      </c>
      <c r="B304" s="86" t="s">
        <v>1408</v>
      </c>
      <c r="C304" s="91">
        <v>661144000549</v>
      </c>
      <c r="D304" s="43" t="s">
        <v>202</v>
      </c>
      <c r="E304" s="42" t="s">
        <v>377</v>
      </c>
      <c r="F304" s="47" t="s">
        <v>860</v>
      </c>
    </row>
    <row r="305" spans="1:6" s="35" customFormat="1" x14ac:dyDescent="0.3">
      <c r="A305" s="33">
        <v>404087</v>
      </c>
      <c r="B305" s="86" t="s">
        <v>1409</v>
      </c>
      <c r="C305" s="91">
        <v>748252300041</v>
      </c>
      <c r="D305" s="43" t="s">
        <v>202</v>
      </c>
      <c r="E305" s="42" t="s">
        <v>377</v>
      </c>
      <c r="F305" s="47" t="s">
        <v>860</v>
      </c>
    </row>
    <row r="306" spans="1:6" s="35" customFormat="1" x14ac:dyDescent="0.3">
      <c r="A306" s="33">
        <v>491092</v>
      </c>
      <c r="B306" s="86" t="s">
        <v>1410</v>
      </c>
      <c r="C306" s="91">
        <v>405392012127</v>
      </c>
      <c r="D306" s="43" t="s">
        <v>202</v>
      </c>
      <c r="E306" s="42" t="s">
        <v>377</v>
      </c>
      <c r="F306" s="47" t="s">
        <v>860</v>
      </c>
    </row>
    <row r="307" spans="1:6" s="35" customFormat="1" x14ac:dyDescent="0.3">
      <c r="A307" s="33">
        <v>515551</v>
      </c>
      <c r="B307" s="86" t="s">
        <v>1411</v>
      </c>
      <c r="C307" s="91">
        <v>405392010017</v>
      </c>
      <c r="D307" s="43" t="s">
        <v>202</v>
      </c>
      <c r="E307" s="42" t="s">
        <v>377</v>
      </c>
      <c r="F307" s="47" t="s">
        <v>860</v>
      </c>
    </row>
    <row r="308" spans="1:6" s="35" customFormat="1" x14ac:dyDescent="0.3">
      <c r="A308" s="33">
        <v>380048</v>
      </c>
      <c r="B308" s="86" t="s">
        <v>1412</v>
      </c>
      <c r="C308" s="91">
        <v>405392012028</v>
      </c>
      <c r="D308" s="43" t="s">
        <v>202</v>
      </c>
      <c r="E308" s="42" t="s">
        <v>377</v>
      </c>
      <c r="F308" s="47" t="s">
        <v>860</v>
      </c>
    </row>
    <row r="309" spans="1:6" s="35" customFormat="1" x14ac:dyDescent="0.3">
      <c r="A309" s="33">
        <v>49999</v>
      </c>
      <c r="B309" s="86" t="s">
        <v>1152</v>
      </c>
      <c r="C309" s="91">
        <v>874537112136</v>
      </c>
      <c r="D309" s="43" t="s">
        <v>202</v>
      </c>
      <c r="E309" s="42" t="s">
        <v>377</v>
      </c>
      <c r="F309" s="47" t="s">
        <v>860</v>
      </c>
    </row>
    <row r="310" spans="1:6" s="35" customFormat="1" x14ac:dyDescent="0.3">
      <c r="A310" s="33">
        <v>483958</v>
      </c>
      <c r="B310" s="86" t="s">
        <v>1170</v>
      </c>
      <c r="C310" s="91">
        <v>874537116134</v>
      </c>
      <c r="D310" s="43" t="s">
        <v>202</v>
      </c>
      <c r="E310" s="42" t="s">
        <v>377</v>
      </c>
      <c r="F310" s="47" t="s">
        <v>860</v>
      </c>
    </row>
    <row r="311" spans="1:6" s="35" customFormat="1" x14ac:dyDescent="0.3">
      <c r="A311" s="33">
        <v>492280</v>
      </c>
      <c r="B311" s="86" t="s">
        <v>1413</v>
      </c>
      <c r="C311" s="91">
        <v>838461003007</v>
      </c>
      <c r="D311" s="43" t="s">
        <v>202</v>
      </c>
      <c r="E311" s="42" t="s">
        <v>377</v>
      </c>
      <c r="F311" s="47" t="s">
        <v>860</v>
      </c>
    </row>
    <row r="312" spans="1:6" s="35" customFormat="1" x14ac:dyDescent="0.3">
      <c r="A312" s="33">
        <v>468231</v>
      </c>
      <c r="B312" s="86" t="s">
        <v>1414</v>
      </c>
      <c r="C312" s="91">
        <v>779320200048</v>
      </c>
      <c r="D312" s="43" t="s">
        <v>202</v>
      </c>
      <c r="E312" s="42" t="s">
        <v>377</v>
      </c>
      <c r="F312" s="47" t="s">
        <v>860</v>
      </c>
    </row>
    <row r="313" spans="1:6" s="35" customFormat="1" x14ac:dyDescent="0.3">
      <c r="A313" s="33">
        <v>483156</v>
      </c>
      <c r="B313" s="86" t="s">
        <v>1415</v>
      </c>
      <c r="C313" s="91">
        <v>779320000082</v>
      </c>
      <c r="D313" s="43" t="s">
        <v>202</v>
      </c>
      <c r="E313" s="42" t="s">
        <v>377</v>
      </c>
      <c r="F313" s="47" t="s">
        <v>860</v>
      </c>
    </row>
    <row r="314" spans="1:6" s="35" customFormat="1" x14ac:dyDescent="0.3">
      <c r="A314" s="33">
        <v>111955</v>
      </c>
      <c r="B314" s="86" t="s">
        <v>1416</v>
      </c>
      <c r="C314" s="91">
        <v>857463001019</v>
      </c>
      <c r="D314" s="43" t="s">
        <v>202</v>
      </c>
      <c r="E314" s="42" t="s">
        <v>377</v>
      </c>
      <c r="F314" s="47" t="s">
        <v>860</v>
      </c>
    </row>
    <row r="315" spans="1:6" s="35" customFormat="1" x14ac:dyDescent="0.3">
      <c r="A315" s="33">
        <v>498063</v>
      </c>
      <c r="B315" s="86" t="s">
        <v>1417</v>
      </c>
      <c r="C315" s="91">
        <v>857463003051</v>
      </c>
      <c r="D315" s="43" t="s">
        <v>202</v>
      </c>
      <c r="E315" s="42" t="s">
        <v>377</v>
      </c>
      <c r="F315" s="47" t="s">
        <v>860</v>
      </c>
    </row>
    <row r="316" spans="1:6" x14ac:dyDescent="0.3">
      <c r="A316" s="33">
        <v>492330</v>
      </c>
      <c r="B316" s="86" t="s">
        <v>1418</v>
      </c>
      <c r="C316" s="91">
        <v>836380001319</v>
      </c>
      <c r="D316" s="43" t="s">
        <v>202</v>
      </c>
      <c r="E316" s="42" t="s">
        <v>377</v>
      </c>
      <c r="F316" s="47" t="s">
        <v>860</v>
      </c>
    </row>
    <row r="317" spans="1:6" s="35" customFormat="1" x14ac:dyDescent="0.3">
      <c r="A317" s="33">
        <v>492348</v>
      </c>
      <c r="B317" s="86" t="s">
        <v>1419</v>
      </c>
      <c r="C317" s="91">
        <v>836380062600</v>
      </c>
      <c r="D317" s="43" t="s">
        <v>202</v>
      </c>
      <c r="E317" s="42" t="s">
        <v>377</v>
      </c>
      <c r="F317" s="47" t="s">
        <v>860</v>
      </c>
    </row>
    <row r="318" spans="1:6" s="35" customFormat="1" x14ac:dyDescent="0.3">
      <c r="A318" s="33">
        <v>495606</v>
      </c>
      <c r="B318" s="86" t="s">
        <v>1420</v>
      </c>
      <c r="C318" s="91">
        <v>836380042060</v>
      </c>
      <c r="D318" s="43" t="s">
        <v>202</v>
      </c>
      <c r="E318" s="42" t="s">
        <v>377</v>
      </c>
      <c r="F318" s="47" t="s">
        <v>860</v>
      </c>
    </row>
    <row r="319" spans="1:6" s="35" customFormat="1" x14ac:dyDescent="0.3">
      <c r="A319" s="33">
        <v>483610</v>
      </c>
      <c r="B319" s="42" t="s">
        <v>1395</v>
      </c>
      <c r="C319" s="34" t="s">
        <v>1396</v>
      </c>
      <c r="D319" s="43" t="s">
        <v>202</v>
      </c>
      <c r="E319" s="21" t="s">
        <v>181</v>
      </c>
      <c r="F319" s="47">
        <v>43214</v>
      </c>
    </row>
    <row r="320" spans="1:6" s="35" customFormat="1" ht="27.95" x14ac:dyDescent="0.3">
      <c r="A320" s="33">
        <v>260372</v>
      </c>
      <c r="B320" s="42" t="s">
        <v>1388</v>
      </c>
      <c r="C320" s="34" t="s">
        <v>1387</v>
      </c>
      <c r="D320" s="43" t="s">
        <v>202</v>
      </c>
      <c r="E320" s="55" t="s">
        <v>1389</v>
      </c>
      <c r="F320" s="47">
        <v>43200</v>
      </c>
    </row>
    <row r="321" spans="1:6" s="35" customFormat="1" x14ac:dyDescent="0.3">
      <c r="A321" s="33">
        <v>458372</v>
      </c>
      <c r="B321" s="42" t="s">
        <v>1392</v>
      </c>
      <c r="C321" s="34" t="s">
        <v>1393</v>
      </c>
      <c r="D321" s="43" t="s">
        <v>48</v>
      </c>
      <c r="E321" s="55" t="s">
        <v>1394</v>
      </c>
      <c r="F321" s="47">
        <v>43194</v>
      </c>
    </row>
    <row r="322" spans="1:6" s="35" customFormat="1" x14ac:dyDescent="0.3">
      <c r="A322" s="33">
        <v>359331</v>
      </c>
      <c r="B322" s="42" t="s">
        <v>1391</v>
      </c>
      <c r="C322" s="34" t="s">
        <v>1390</v>
      </c>
      <c r="D322" s="43" t="s">
        <v>25</v>
      </c>
      <c r="E322" s="42" t="s">
        <v>377</v>
      </c>
      <c r="F322" s="47">
        <v>43194</v>
      </c>
    </row>
    <row r="323" spans="1:6" s="35" customFormat="1" x14ac:dyDescent="0.3">
      <c r="A323" s="33">
        <v>699009</v>
      </c>
      <c r="B323" s="42" t="s">
        <v>1384</v>
      </c>
      <c r="C323" s="34" t="s">
        <v>1385</v>
      </c>
      <c r="D323" s="43" t="s">
        <v>294</v>
      </c>
      <c r="E323" s="55" t="s">
        <v>1386</v>
      </c>
      <c r="F323" s="47">
        <v>43194</v>
      </c>
    </row>
    <row r="324" spans="1:6" s="35" customFormat="1" x14ac:dyDescent="0.3">
      <c r="A324" s="33">
        <v>481192</v>
      </c>
      <c r="B324" s="42" t="s">
        <v>1380</v>
      </c>
      <c r="C324" s="34" t="s">
        <v>1381</v>
      </c>
      <c r="D324" s="43" t="s">
        <v>25</v>
      </c>
      <c r="E324" s="21" t="s">
        <v>181</v>
      </c>
      <c r="F324" s="47" t="s">
        <v>860</v>
      </c>
    </row>
    <row r="325" spans="1:6" s="35" customFormat="1" x14ac:dyDescent="0.3">
      <c r="A325" s="33">
        <v>498865</v>
      </c>
      <c r="B325" s="42" t="s">
        <v>1382</v>
      </c>
      <c r="C325" s="34" t="s">
        <v>1383</v>
      </c>
      <c r="D325" s="43" t="s">
        <v>25</v>
      </c>
      <c r="E325" s="42" t="s">
        <v>1343</v>
      </c>
      <c r="F325" s="47">
        <v>43194</v>
      </c>
    </row>
    <row r="326" spans="1:6" s="35" customFormat="1" x14ac:dyDescent="0.3">
      <c r="A326" s="85">
        <v>321877</v>
      </c>
      <c r="B326" s="42" t="s">
        <v>1378</v>
      </c>
      <c r="C326" s="34" t="s">
        <v>1379</v>
      </c>
      <c r="D326" s="43" t="s">
        <v>25</v>
      </c>
      <c r="E326" s="21" t="s">
        <v>86</v>
      </c>
      <c r="F326" s="47">
        <v>43194</v>
      </c>
    </row>
    <row r="327" spans="1:6" s="35" customFormat="1" x14ac:dyDescent="0.3">
      <c r="A327" s="33">
        <v>339580</v>
      </c>
      <c r="B327" s="42" t="s">
        <v>1376</v>
      </c>
      <c r="C327" s="34" t="s">
        <v>1377</v>
      </c>
      <c r="D327" s="43" t="s">
        <v>202</v>
      </c>
      <c r="E327" s="21" t="s">
        <v>181</v>
      </c>
      <c r="F327" s="47">
        <v>43194</v>
      </c>
    </row>
    <row r="328" spans="1:6" s="35" customFormat="1" x14ac:dyDescent="0.3">
      <c r="A328" s="33">
        <v>336495</v>
      </c>
      <c r="B328" s="42" t="s">
        <v>1374</v>
      </c>
      <c r="C328" s="34" t="s">
        <v>1375</v>
      </c>
      <c r="D328" s="43" t="s">
        <v>202</v>
      </c>
      <c r="E328" s="21" t="s">
        <v>181</v>
      </c>
      <c r="F328" s="47">
        <v>43186</v>
      </c>
    </row>
    <row r="329" spans="1:6" s="35" customFormat="1" x14ac:dyDescent="0.3">
      <c r="A329" s="33">
        <v>523365</v>
      </c>
      <c r="B329" s="42" t="s">
        <v>1372</v>
      </c>
      <c r="C329" s="34" t="s">
        <v>1373</v>
      </c>
      <c r="D329" s="43" t="s">
        <v>25</v>
      </c>
      <c r="E329" s="21" t="s">
        <v>181</v>
      </c>
      <c r="F329" s="47" t="s">
        <v>860</v>
      </c>
    </row>
    <row r="330" spans="1:6" s="35" customFormat="1" x14ac:dyDescent="0.3">
      <c r="A330" s="33">
        <v>385377</v>
      </c>
      <c r="B330" s="42" t="s">
        <v>1363</v>
      </c>
      <c r="C330" s="34" t="s">
        <v>1368</v>
      </c>
      <c r="D330" s="43" t="s">
        <v>76</v>
      </c>
      <c r="E330" s="21" t="s">
        <v>1367</v>
      </c>
      <c r="F330" s="47">
        <v>43186</v>
      </c>
    </row>
    <row r="331" spans="1:6" s="35" customFormat="1" x14ac:dyDescent="0.3">
      <c r="A331" s="33">
        <v>474262</v>
      </c>
      <c r="B331" s="42" t="s">
        <v>1364</v>
      </c>
      <c r="C331" s="34" t="s">
        <v>1369</v>
      </c>
      <c r="D331" s="43" t="s">
        <v>76</v>
      </c>
      <c r="E331" s="21" t="s">
        <v>1367</v>
      </c>
      <c r="F331" s="47">
        <v>43186</v>
      </c>
    </row>
    <row r="332" spans="1:6" s="35" customFormat="1" x14ac:dyDescent="0.3">
      <c r="A332" s="33">
        <v>538892</v>
      </c>
      <c r="B332" s="42" t="s">
        <v>1365</v>
      </c>
      <c r="C332" s="34" t="s">
        <v>1370</v>
      </c>
      <c r="D332" s="43" t="s">
        <v>76</v>
      </c>
      <c r="E332" s="21" t="s">
        <v>1367</v>
      </c>
      <c r="F332" s="47">
        <v>43186</v>
      </c>
    </row>
    <row r="333" spans="1:6" s="35" customFormat="1" x14ac:dyDescent="0.3">
      <c r="A333" s="33">
        <v>539056</v>
      </c>
      <c r="B333" s="42" t="s">
        <v>1366</v>
      </c>
      <c r="C333" s="34" t="s">
        <v>1371</v>
      </c>
      <c r="D333" s="43" t="s">
        <v>76</v>
      </c>
      <c r="E333" s="21" t="s">
        <v>1367</v>
      </c>
      <c r="F333" s="47">
        <v>43186</v>
      </c>
    </row>
    <row r="334" spans="1:6" s="35" customFormat="1" x14ac:dyDescent="0.3">
      <c r="A334" s="33">
        <v>466508</v>
      </c>
      <c r="B334" s="42" t="s">
        <v>1361</v>
      </c>
      <c r="C334" s="34" t="s">
        <v>1362</v>
      </c>
      <c r="D334" s="43" t="s">
        <v>48</v>
      </c>
      <c r="E334" s="21" t="s">
        <v>181</v>
      </c>
      <c r="F334" s="47">
        <v>43179</v>
      </c>
    </row>
    <row r="335" spans="1:6" s="35" customFormat="1" x14ac:dyDescent="0.3">
      <c r="A335" s="33">
        <v>459503</v>
      </c>
      <c r="B335" s="42" t="s">
        <v>1359</v>
      </c>
      <c r="C335" s="34" t="s">
        <v>1360</v>
      </c>
      <c r="D335" s="43" t="s">
        <v>25</v>
      </c>
      <c r="E335" s="21" t="s">
        <v>181</v>
      </c>
      <c r="F335" s="47">
        <v>43179</v>
      </c>
    </row>
    <row r="336" spans="1:6" s="35" customFormat="1" ht="27.95" x14ac:dyDescent="0.3">
      <c r="A336" s="33">
        <v>394742</v>
      </c>
      <c r="B336" s="42" t="s">
        <v>1356</v>
      </c>
      <c r="C336" s="34" t="s">
        <v>1357</v>
      </c>
      <c r="D336" s="43" t="s">
        <v>202</v>
      </c>
      <c r="E336" s="55" t="s">
        <v>1358</v>
      </c>
      <c r="F336" s="47">
        <v>43179</v>
      </c>
    </row>
    <row r="337" spans="1:6" s="35" customFormat="1" x14ac:dyDescent="0.3">
      <c r="A337" s="33">
        <v>481481</v>
      </c>
      <c r="B337" s="10" t="s">
        <v>1354</v>
      </c>
      <c r="C337" s="34" t="s">
        <v>1355</v>
      </c>
      <c r="D337" s="43" t="s">
        <v>294</v>
      </c>
      <c r="E337" s="42" t="s">
        <v>1343</v>
      </c>
      <c r="F337" s="47" t="s">
        <v>860</v>
      </c>
    </row>
    <row r="338" spans="1:6" s="35" customFormat="1" x14ac:dyDescent="0.3">
      <c r="A338" s="33">
        <v>395228</v>
      </c>
      <c r="B338" s="42" t="s">
        <v>1352</v>
      </c>
      <c r="C338" s="34" t="s">
        <v>1353</v>
      </c>
      <c r="D338" s="43" t="s">
        <v>137</v>
      </c>
      <c r="E338" s="21" t="s">
        <v>1304</v>
      </c>
      <c r="F338" s="47">
        <v>43179</v>
      </c>
    </row>
    <row r="339" spans="1:6" s="35" customFormat="1" x14ac:dyDescent="0.3">
      <c r="A339" s="33">
        <v>448142</v>
      </c>
      <c r="B339" s="42" t="s">
        <v>1349</v>
      </c>
      <c r="C339" s="34" t="s">
        <v>1350</v>
      </c>
      <c r="D339" s="43" t="s">
        <v>98</v>
      </c>
      <c r="E339" s="21" t="s">
        <v>1351</v>
      </c>
      <c r="F339" s="47">
        <v>43172</v>
      </c>
    </row>
    <row r="340" spans="1:6" s="35" customFormat="1" x14ac:dyDescent="0.3">
      <c r="A340" s="33">
        <v>449900</v>
      </c>
      <c r="B340" s="84" t="s">
        <v>1347</v>
      </c>
      <c r="C340" s="34" t="s">
        <v>1348</v>
      </c>
      <c r="D340" s="43" t="s">
        <v>202</v>
      </c>
      <c r="E340" s="21" t="s">
        <v>181</v>
      </c>
      <c r="F340" s="47">
        <v>43172</v>
      </c>
    </row>
    <row r="341" spans="1:6" s="35" customFormat="1" x14ac:dyDescent="0.3">
      <c r="A341" s="33">
        <v>496976</v>
      </c>
      <c r="B341" s="42" t="s">
        <v>1344</v>
      </c>
      <c r="C341" s="34" t="s">
        <v>1345</v>
      </c>
      <c r="D341" s="43" t="s">
        <v>98</v>
      </c>
      <c r="E341" s="42" t="s">
        <v>1346</v>
      </c>
      <c r="F341" s="47">
        <v>43172</v>
      </c>
    </row>
    <row r="342" spans="1:6" s="35" customFormat="1" x14ac:dyDescent="0.3">
      <c r="A342" s="33">
        <v>530634</v>
      </c>
      <c r="B342" s="42" t="s">
        <v>1341</v>
      </c>
      <c r="C342" s="34" t="s">
        <v>1342</v>
      </c>
      <c r="D342" s="43" t="s">
        <v>25</v>
      </c>
      <c r="E342" s="42" t="s">
        <v>1343</v>
      </c>
      <c r="F342" s="47">
        <v>43172</v>
      </c>
    </row>
    <row r="343" spans="1:6" s="35" customFormat="1" x14ac:dyDescent="0.3">
      <c r="A343" s="33">
        <v>693093</v>
      </c>
      <c r="B343" s="42" t="s">
        <v>1339</v>
      </c>
      <c r="C343" s="34" t="s">
        <v>1338</v>
      </c>
      <c r="D343" s="43" t="s">
        <v>37</v>
      </c>
      <c r="E343" s="42" t="s">
        <v>1340</v>
      </c>
      <c r="F343" s="47">
        <v>43172</v>
      </c>
    </row>
    <row r="344" spans="1:6" s="35" customFormat="1" x14ac:dyDescent="0.3">
      <c r="A344" s="33">
        <v>384727</v>
      </c>
      <c r="B344" s="42" t="s">
        <v>1335</v>
      </c>
      <c r="C344" s="34" t="s">
        <v>1336</v>
      </c>
      <c r="D344" s="43" t="s">
        <v>48</v>
      </c>
      <c r="E344" s="42" t="s">
        <v>1337</v>
      </c>
      <c r="F344" s="47">
        <v>43165</v>
      </c>
    </row>
    <row r="345" spans="1:6" s="35" customFormat="1" x14ac:dyDescent="0.3">
      <c r="A345" s="33">
        <v>431593</v>
      </c>
      <c r="B345" s="42" t="s">
        <v>1334</v>
      </c>
      <c r="C345" s="34" t="s">
        <v>1333</v>
      </c>
      <c r="D345" s="43" t="s">
        <v>202</v>
      </c>
      <c r="E345" s="21" t="s">
        <v>181</v>
      </c>
      <c r="F345" s="47" t="s">
        <v>860</v>
      </c>
    </row>
    <row r="346" spans="1:6" s="35" customFormat="1" x14ac:dyDescent="0.3">
      <c r="A346" s="33">
        <v>514711</v>
      </c>
      <c r="B346" s="42" t="s">
        <v>1331</v>
      </c>
      <c r="C346" s="34" t="s">
        <v>1332</v>
      </c>
      <c r="D346" s="43" t="s">
        <v>25</v>
      </c>
      <c r="E346" s="42" t="s">
        <v>377</v>
      </c>
      <c r="F346" s="47" t="s">
        <v>860</v>
      </c>
    </row>
    <row r="347" spans="1:6" s="35" customFormat="1" x14ac:dyDescent="0.3">
      <c r="A347" s="33">
        <v>480715</v>
      </c>
      <c r="B347" s="42" t="s">
        <v>1330</v>
      </c>
      <c r="C347" s="34" t="s">
        <v>1124</v>
      </c>
      <c r="D347" s="43" t="s">
        <v>106</v>
      </c>
      <c r="E347" s="21" t="s">
        <v>181</v>
      </c>
      <c r="F347" s="47">
        <v>43165</v>
      </c>
    </row>
    <row r="348" spans="1:6" s="35" customFormat="1" ht="27.95" x14ac:dyDescent="0.3">
      <c r="A348" s="33">
        <v>563247</v>
      </c>
      <c r="B348" s="42" t="s">
        <v>1327</v>
      </c>
      <c r="C348" s="34" t="s">
        <v>1328</v>
      </c>
      <c r="D348" s="43" t="s">
        <v>137</v>
      </c>
      <c r="E348" s="55" t="s">
        <v>1329</v>
      </c>
      <c r="F348" s="47">
        <v>43165</v>
      </c>
    </row>
    <row r="349" spans="1:6" s="35" customFormat="1" x14ac:dyDescent="0.3">
      <c r="A349" s="33">
        <v>515361</v>
      </c>
      <c r="B349" s="42" t="s">
        <v>1324</v>
      </c>
      <c r="C349" s="34" t="s">
        <v>1321</v>
      </c>
      <c r="D349" s="43" t="s">
        <v>25</v>
      </c>
      <c r="E349" s="42" t="s">
        <v>1320</v>
      </c>
      <c r="F349" s="47">
        <v>43165</v>
      </c>
    </row>
    <row r="350" spans="1:6" x14ac:dyDescent="0.3">
      <c r="A350" s="33">
        <v>515023</v>
      </c>
      <c r="B350" s="42" t="s">
        <v>1325</v>
      </c>
      <c r="C350" s="34" t="s">
        <v>1322</v>
      </c>
      <c r="D350" s="43" t="s">
        <v>25</v>
      </c>
      <c r="E350" s="42" t="s">
        <v>1320</v>
      </c>
      <c r="F350" s="47">
        <v>43165</v>
      </c>
    </row>
    <row r="351" spans="1:6" x14ac:dyDescent="0.3">
      <c r="A351" s="33">
        <v>513010</v>
      </c>
      <c r="B351" s="42" t="s">
        <v>1326</v>
      </c>
      <c r="C351" s="34" t="s">
        <v>1323</v>
      </c>
      <c r="D351" s="43" t="s">
        <v>25</v>
      </c>
      <c r="E351" s="42" t="s">
        <v>1320</v>
      </c>
      <c r="F351" s="47">
        <v>43165</v>
      </c>
    </row>
    <row r="352" spans="1:6" s="35" customFormat="1" x14ac:dyDescent="0.3">
      <c r="A352" s="33">
        <v>935957</v>
      </c>
      <c r="B352" s="42" t="s">
        <v>1317</v>
      </c>
      <c r="C352" s="34" t="s">
        <v>1319</v>
      </c>
      <c r="D352" s="43" t="s">
        <v>202</v>
      </c>
      <c r="E352" s="21" t="s">
        <v>1318</v>
      </c>
      <c r="F352" s="47">
        <v>43158</v>
      </c>
    </row>
    <row r="353" spans="1:6" s="35" customFormat="1" x14ac:dyDescent="0.3">
      <c r="A353" s="33">
        <v>159962</v>
      </c>
      <c r="B353" s="42" t="s">
        <v>1309</v>
      </c>
      <c r="C353" s="34" t="s">
        <v>1308</v>
      </c>
      <c r="D353" s="43" t="s">
        <v>202</v>
      </c>
      <c r="E353" s="21" t="s">
        <v>1304</v>
      </c>
      <c r="F353" s="47">
        <v>43158</v>
      </c>
    </row>
    <row r="354" spans="1:6" s="35" customFormat="1" x14ac:dyDescent="0.3">
      <c r="A354" s="33">
        <v>377648</v>
      </c>
      <c r="B354" s="42" t="s">
        <v>1315</v>
      </c>
      <c r="C354" s="34" t="s">
        <v>1316</v>
      </c>
      <c r="D354" s="43" t="s">
        <v>202</v>
      </c>
      <c r="E354" s="21" t="s">
        <v>181</v>
      </c>
      <c r="F354" s="47">
        <v>43158</v>
      </c>
    </row>
    <row r="355" spans="1:6" s="35" customFormat="1" x14ac:dyDescent="0.3">
      <c r="A355" s="33">
        <v>475012</v>
      </c>
      <c r="B355" s="42" t="s">
        <v>1313</v>
      </c>
      <c r="C355" s="34" t="s">
        <v>1314</v>
      </c>
      <c r="D355" s="43" t="s">
        <v>202</v>
      </c>
      <c r="E355" s="21" t="s">
        <v>181</v>
      </c>
      <c r="F355" s="47" t="s">
        <v>860</v>
      </c>
    </row>
    <row r="356" spans="1:6" s="35" customFormat="1" x14ac:dyDescent="0.3">
      <c r="A356" s="33">
        <v>441790</v>
      </c>
      <c r="B356" s="42" t="s">
        <v>1311</v>
      </c>
      <c r="C356" s="34" t="s">
        <v>1312</v>
      </c>
      <c r="D356" s="43" t="s">
        <v>202</v>
      </c>
      <c r="E356" s="21" t="s">
        <v>181</v>
      </c>
      <c r="F356" s="47" t="s">
        <v>860</v>
      </c>
    </row>
    <row r="357" spans="1:6" s="35" customFormat="1" x14ac:dyDescent="0.3">
      <c r="A357" s="33">
        <v>163477</v>
      </c>
      <c r="B357" s="42" t="s">
        <v>1310</v>
      </c>
      <c r="C357" s="34" t="s">
        <v>1206</v>
      </c>
      <c r="D357" s="43" t="s">
        <v>202</v>
      </c>
      <c r="E357" s="21" t="s">
        <v>181</v>
      </c>
      <c r="F357" s="47" t="s">
        <v>860</v>
      </c>
    </row>
    <row r="358" spans="1:6" s="35" customFormat="1" x14ac:dyDescent="0.3">
      <c r="A358" s="33">
        <v>385518</v>
      </c>
      <c r="B358" s="42" t="s">
        <v>1306</v>
      </c>
      <c r="C358" s="34" t="s">
        <v>1307</v>
      </c>
      <c r="D358" s="43" t="s">
        <v>449</v>
      </c>
      <c r="E358" s="21" t="s">
        <v>86</v>
      </c>
      <c r="F358" s="47">
        <v>43152</v>
      </c>
    </row>
    <row r="359" spans="1:6" x14ac:dyDescent="0.3">
      <c r="A359" s="33">
        <v>561001</v>
      </c>
      <c r="B359" s="42" t="s">
        <v>1303</v>
      </c>
      <c r="C359" s="34" t="s">
        <v>1305</v>
      </c>
      <c r="D359" s="43" t="s">
        <v>25</v>
      </c>
      <c r="E359" s="6" t="s">
        <v>1304</v>
      </c>
      <c r="F359" s="47" t="s">
        <v>860</v>
      </c>
    </row>
    <row r="360" spans="1:6" x14ac:dyDescent="0.3">
      <c r="A360" s="33">
        <v>549683</v>
      </c>
      <c r="B360" s="42" t="s">
        <v>1297</v>
      </c>
      <c r="C360" s="34" t="s">
        <v>1299</v>
      </c>
      <c r="D360" s="43" t="s">
        <v>25</v>
      </c>
      <c r="E360" s="9" t="s">
        <v>1298</v>
      </c>
      <c r="F360" s="47">
        <v>43152</v>
      </c>
    </row>
    <row r="361" spans="1:6" ht="27.95" x14ac:dyDescent="0.3">
      <c r="A361" s="33">
        <v>79962</v>
      </c>
      <c r="B361" s="42" t="s">
        <v>1296</v>
      </c>
      <c r="C361" s="34" t="s">
        <v>1294</v>
      </c>
      <c r="D361" s="43" t="s">
        <v>37</v>
      </c>
      <c r="E361" s="9" t="s">
        <v>1295</v>
      </c>
      <c r="F361" s="47">
        <v>43152</v>
      </c>
    </row>
    <row r="362" spans="1:6" x14ac:dyDescent="0.3">
      <c r="A362" s="33">
        <v>453993</v>
      </c>
      <c r="B362" s="42" t="s">
        <v>1293</v>
      </c>
      <c r="C362" s="34" t="s">
        <v>1302</v>
      </c>
      <c r="D362" s="43" t="s">
        <v>60</v>
      </c>
      <c r="E362" s="21" t="s">
        <v>86</v>
      </c>
      <c r="F362" s="47">
        <v>43152</v>
      </c>
    </row>
    <row r="363" spans="1:6" s="35" customFormat="1" x14ac:dyDescent="0.3">
      <c r="A363" s="33">
        <v>498501</v>
      </c>
      <c r="B363" s="42" t="s">
        <v>1292</v>
      </c>
      <c r="C363" s="34" t="s">
        <v>1300</v>
      </c>
      <c r="D363" s="43" t="s">
        <v>1301</v>
      </c>
      <c r="E363" s="6" t="s">
        <v>635</v>
      </c>
      <c r="F363" s="47" t="s">
        <v>860</v>
      </c>
    </row>
    <row r="364" spans="1:6" s="35" customFormat="1" x14ac:dyDescent="0.3">
      <c r="A364" s="33">
        <v>469379</v>
      </c>
      <c r="B364" s="42" t="s">
        <v>1290</v>
      </c>
      <c r="C364" s="34" t="s">
        <v>1291</v>
      </c>
      <c r="D364" s="43" t="s">
        <v>25</v>
      </c>
      <c r="E364" s="21" t="s">
        <v>181</v>
      </c>
      <c r="F364" s="47">
        <v>43152</v>
      </c>
    </row>
    <row r="365" spans="1:6" s="35" customFormat="1" x14ac:dyDescent="0.3">
      <c r="A365" s="33">
        <v>485094</v>
      </c>
      <c r="B365" s="42" t="s">
        <v>1286</v>
      </c>
      <c r="C365" s="34" t="s">
        <v>1289</v>
      </c>
      <c r="D365" s="43" t="s">
        <v>48</v>
      </c>
      <c r="E365" s="42" t="s">
        <v>377</v>
      </c>
      <c r="F365" s="47">
        <v>43144</v>
      </c>
    </row>
    <row r="366" spans="1:6" x14ac:dyDescent="0.3">
      <c r="A366" s="33">
        <v>520171</v>
      </c>
      <c r="B366" s="42" t="s">
        <v>898</v>
      </c>
      <c r="C366" s="34" t="s">
        <v>1282</v>
      </c>
      <c r="D366" s="43" t="s">
        <v>106</v>
      </c>
      <c r="E366" s="42" t="s">
        <v>377</v>
      </c>
      <c r="F366" s="47">
        <v>43144</v>
      </c>
    </row>
    <row r="367" spans="1:6" x14ac:dyDescent="0.3">
      <c r="A367" s="33">
        <v>497669</v>
      </c>
      <c r="B367" s="42" t="s">
        <v>1279</v>
      </c>
      <c r="C367" s="34" t="s">
        <v>1283</v>
      </c>
      <c r="D367" s="43" t="s">
        <v>37</v>
      </c>
      <c r="E367" s="42" t="s">
        <v>377</v>
      </c>
      <c r="F367" s="47">
        <v>43144</v>
      </c>
    </row>
    <row r="368" spans="1:6" s="35" customFormat="1" x14ac:dyDescent="0.3">
      <c r="A368" s="33">
        <v>496182</v>
      </c>
      <c r="B368" s="42" t="s">
        <v>1280</v>
      </c>
      <c r="C368" s="34" t="s">
        <v>1284</v>
      </c>
      <c r="D368" s="43" t="s">
        <v>25</v>
      </c>
      <c r="E368" s="42" t="s">
        <v>377</v>
      </c>
      <c r="F368" s="47">
        <v>43144</v>
      </c>
    </row>
    <row r="369" spans="1:6" x14ac:dyDescent="0.3">
      <c r="A369" s="33">
        <v>508200</v>
      </c>
      <c r="B369" s="42" t="s">
        <v>1281</v>
      </c>
      <c r="C369" s="75">
        <v>56327011465</v>
      </c>
      <c r="D369" s="43" t="s">
        <v>98</v>
      </c>
      <c r="E369" s="42" t="s">
        <v>377</v>
      </c>
      <c r="F369" s="47">
        <v>43144</v>
      </c>
    </row>
    <row r="370" spans="1:6" x14ac:dyDescent="0.3">
      <c r="A370" s="33">
        <v>415075</v>
      </c>
      <c r="B370" s="42" t="s">
        <v>1276</v>
      </c>
      <c r="C370" s="34" t="s">
        <v>1277</v>
      </c>
      <c r="D370" s="43" t="s">
        <v>37</v>
      </c>
      <c r="E370" s="21" t="s">
        <v>181</v>
      </c>
      <c r="F370" s="47">
        <v>43144</v>
      </c>
    </row>
    <row r="371" spans="1:6" x14ac:dyDescent="0.3">
      <c r="A371" s="33">
        <v>460600</v>
      </c>
      <c r="B371" s="42" t="s">
        <v>1275</v>
      </c>
      <c r="C371" s="34" t="s">
        <v>1278</v>
      </c>
      <c r="D371" s="43" t="s">
        <v>202</v>
      </c>
      <c r="E371" s="42" t="s">
        <v>1285</v>
      </c>
      <c r="F371" s="47">
        <v>43144</v>
      </c>
    </row>
    <row r="372" spans="1:6" x14ac:dyDescent="0.3">
      <c r="A372" s="33">
        <v>360776</v>
      </c>
      <c r="B372" s="42" t="s">
        <v>1268</v>
      </c>
      <c r="C372" s="34" t="s">
        <v>1274</v>
      </c>
      <c r="D372" s="43" t="s">
        <v>202</v>
      </c>
      <c r="E372" s="21" t="s">
        <v>181</v>
      </c>
      <c r="F372" s="47" t="s">
        <v>860</v>
      </c>
    </row>
    <row r="373" spans="1:6" x14ac:dyDescent="0.3">
      <c r="A373" s="33">
        <v>394734</v>
      </c>
      <c r="B373" s="42" t="s">
        <v>1269</v>
      </c>
      <c r="C373" s="34" t="s">
        <v>1273</v>
      </c>
      <c r="D373" s="43" t="s">
        <v>1115</v>
      </c>
      <c r="E373" s="21" t="s">
        <v>181</v>
      </c>
      <c r="F373" s="47" t="s">
        <v>860</v>
      </c>
    </row>
    <row r="374" spans="1:6" x14ac:dyDescent="0.3">
      <c r="A374" s="33">
        <v>416230</v>
      </c>
      <c r="B374" s="42" t="s">
        <v>1270</v>
      </c>
      <c r="C374" s="34" t="s">
        <v>1272</v>
      </c>
      <c r="D374" s="43" t="s">
        <v>202</v>
      </c>
      <c r="E374" s="21" t="s">
        <v>181</v>
      </c>
      <c r="F374" s="47" t="s">
        <v>860</v>
      </c>
    </row>
    <row r="375" spans="1:6" x14ac:dyDescent="0.3">
      <c r="A375" s="33">
        <v>631689</v>
      </c>
      <c r="B375" s="42" t="s">
        <v>1271</v>
      </c>
      <c r="C375" s="75">
        <v>12894935276</v>
      </c>
      <c r="D375" s="43" t="s">
        <v>496</v>
      </c>
      <c r="E375" s="21" t="s">
        <v>181</v>
      </c>
      <c r="F375" s="47" t="s">
        <v>860</v>
      </c>
    </row>
    <row r="376" spans="1:6" x14ac:dyDescent="0.3">
      <c r="A376" s="33">
        <v>480343</v>
      </c>
      <c r="B376" s="42" t="s">
        <v>1267</v>
      </c>
      <c r="C376" s="34" t="s">
        <v>1266</v>
      </c>
      <c r="D376" s="43" t="s">
        <v>25</v>
      </c>
      <c r="E376" s="21" t="s">
        <v>181</v>
      </c>
      <c r="F376" s="47">
        <v>43137</v>
      </c>
    </row>
    <row r="377" spans="1:6" s="35" customFormat="1" x14ac:dyDescent="0.3">
      <c r="A377" s="33">
        <v>422998</v>
      </c>
      <c r="B377" s="42" t="s">
        <v>1264</v>
      </c>
      <c r="C377" s="34" t="s">
        <v>1265</v>
      </c>
      <c r="D377" s="43" t="s">
        <v>37</v>
      </c>
      <c r="E377" s="21" t="s">
        <v>181</v>
      </c>
      <c r="F377" s="47">
        <v>43137</v>
      </c>
    </row>
    <row r="378" spans="1:6" s="35" customFormat="1" x14ac:dyDescent="0.3">
      <c r="A378" s="33">
        <v>356873</v>
      </c>
      <c r="B378" s="42" t="s">
        <v>1262</v>
      </c>
      <c r="C378" s="34" t="s">
        <v>1263</v>
      </c>
      <c r="D378" s="43" t="s">
        <v>202</v>
      </c>
      <c r="E378" s="21" t="s">
        <v>181</v>
      </c>
      <c r="F378" s="47">
        <v>43137</v>
      </c>
    </row>
    <row r="379" spans="1:6" x14ac:dyDescent="0.3">
      <c r="A379" s="33">
        <v>112144</v>
      </c>
      <c r="B379" s="42" t="s">
        <v>1253</v>
      </c>
      <c r="C379" s="34" t="s">
        <v>1255</v>
      </c>
      <c r="D379" s="43" t="s">
        <v>202</v>
      </c>
      <c r="E379" s="21" t="s">
        <v>1254</v>
      </c>
      <c r="F379" s="47" t="s">
        <v>860</v>
      </c>
    </row>
    <row r="380" spans="1:6" x14ac:dyDescent="0.3">
      <c r="A380" s="33">
        <v>379131</v>
      </c>
      <c r="B380" s="42" t="s">
        <v>1256</v>
      </c>
      <c r="C380" s="34" t="s">
        <v>1257</v>
      </c>
      <c r="D380" s="43" t="s">
        <v>202</v>
      </c>
      <c r="E380" s="21" t="s">
        <v>1254</v>
      </c>
      <c r="F380" s="47" t="s">
        <v>860</v>
      </c>
    </row>
    <row r="381" spans="1:6" x14ac:dyDescent="0.3">
      <c r="A381" s="33">
        <v>272179</v>
      </c>
      <c r="B381" s="42" t="s">
        <v>1260</v>
      </c>
      <c r="C381" s="34" t="s">
        <v>1261</v>
      </c>
      <c r="D381" s="43" t="s">
        <v>202</v>
      </c>
      <c r="E381" s="21" t="s">
        <v>86</v>
      </c>
      <c r="F381" s="47">
        <v>43130</v>
      </c>
    </row>
    <row r="382" spans="1:6" x14ac:dyDescent="0.3">
      <c r="A382" s="33">
        <v>369330</v>
      </c>
      <c r="B382" s="42" t="s">
        <v>1258</v>
      </c>
      <c r="C382" s="34" t="s">
        <v>1259</v>
      </c>
      <c r="D382" s="43" t="s">
        <v>25</v>
      </c>
      <c r="E382" s="21" t="s">
        <v>181</v>
      </c>
      <c r="F382" s="47">
        <v>43130</v>
      </c>
    </row>
    <row r="383" spans="1:6" x14ac:dyDescent="0.3">
      <c r="A383" s="33">
        <v>443416</v>
      </c>
      <c r="B383" s="42" t="s">
        <v>1245</v>
      </c>
      <c r="C383" s="34" t="s">
        <v>1251</v>
      </c>
      <c r="D383" s="43" t="s">
        <v>48</v>
      </c>
      <c r="E383" s="42" t="s">
        <v>1249</v>
      </c>
      <c r="F383" s="47">
        <v>43130</v>
      </c>
    </row>
    <row r="384" spans="1:6" x14ac:dyDescent="0.3">
      <c r="A384" s="33">
        <v>449389</v>
      </c>
      <c r="B384" s="42" t="s">
        <v>1246</v>
      </c>
      <c r="C384" s="34" t="s">
        <v>1252</v>
      </c>
      <c r="D384" s="43" t="s">
        <v>48</v>
      </c>
      <c r="E384" s="42" t="s">
        <v>1250</v>
      </c>
      <c r="F384" s="47">
        <v>43130</v>
      </c>
    </row>
    <row r="385" spans="1:6" x14ac:dyDescent="0.3">
      <c r="A385" s="33">
        <v>243105</v>
      </c>
      <c r="B385" s="42" t="s">
        <v>1244</v>
      </c>
      <c r="C385" s="75">
        <v>34100005610</v>
      </c>
      <c r="D385" s="43" t="s">
        <v>25</v>
      </c>
      <c r="E385" s="21" t="s">
        <v>1247</v>
      </c>
      <c r="F385" s="47">
        <v>43130</v>
      </c>
    </row>
    <row r="386" spans="1:6" x14ac:dyDescent="0.3">
      <c r="A386" s="33">
        <v>416156</v>
      </c>
      <c r="B386" s="42" t="s">
        <v>1238</v>
      </c>
      <c r="C386" s="34" t="s">
        <v>1237</v>
      </c>
      <c r="D386" s="43" t="s">
        <v>25</v>
      </c>
      <c r="E386" s="21" t="s">
        <v>1248</v>
      </c>
      <c r="F386" s="47">
        <v>43130</v>
      </c>
    </row>
    <row r="387" spans="1:6" x14ac:dyDescent="0.3">
      <c r="A387" s="33">
        <v>449371</v>
      </c>
      <c r="B387" s="10" t="s">
        <v>1287</v>
      </c>
      <c r="C387" s="34" t="s">
        <v>1241</v>
      </c>
      <c r="D387" s="43" t="s">
        <v>48</v>
      </c>
      <c r="E387" s="42" t="s">
        <v>1288</v>
      </c>
      <c r="F387" s="47">
        <v>43123</v>
      </c>
    </row>
    <row r="388" spans="1:6" x14ac:dyDescent="0.3">
      <c r="A388" s="33">
        <v>107722</v>
      </c>
      <c r="B388" s="42" t="s">
        <v>1242</v>
      </c>
      <c r="C388" s="34" t="s">
        <v>1243</v>
      </c>
      <c r="D388" s="43" t="s">
        <v>202</v>
      </c>
      <c r="E388" s="6" t="s">
        <v>1232</v>
      </c>
      <c r="F388" s="47">
        <v>43123</v>
      </c>
    </row>
    <row r="389" spans="1:6" x14ac:dyDescent="0.3">
      <c r="A389" s="33">
        <v>416156</v>
      </c>
      <c r="B389" s="64" t="s">
        <v>1238</v>
      </c>
      <c r="C389" s="34" t="s">
        <v>1237</v>
      </c>
      <c r="D389" s="43" t="s">
        <v>25</v>
      </c>
      <c r="E389" s="42" t="s">
        <v>5</v>
      </c>
      <c r="F389" s="47">
        <v>43123</v>
      </c>
    </row>
    <row r="390" spans="1:6" x14ac:dyDescent="0.3">
      <c r="A390" s="33">
        <v>461079</v>
      </c>
      <c r="B390" s="10" t="s">
        <v>1235</v>
      </c>
      <c r="C390" s="75" t="s">
        <v>1236</v>
      </c>
      <c r="D390" s="43" t="s">
        <v>25</v>
      </c>
      <c r="E390" s="21" t="s">
        <v>181</v>
      </c>
      <c r="F390" s="47">
        <v>43123</v>
      </c>
    </row>
    <row r="391" spans="1:6" x14ac:dyDescent="0.3">
      <c r="A391" s="33">
        <v>449363</v>
      </c>
      <c r="B391" s="10" t="s">
        <v>1239</v>
      </c>
      <c r="C391" s="34" t="s">
        <v>1240</v>
      </c>
      <c r="D391" s="43" t="s">
        <v>48</v>
      </c>
      <c r="E391" s="21" t="s">
        <v>181</v>
      </c>
      <c r="F391" s="47">
        <v>43123</v>
      </c>
    </row>
    <row r="392" spans="1:6" x14ac:dyDescent="0.3">
      <c r="A392" s="50" t="s">
        <v>1092</v>
      </c>
      <c r="B392" s="77" t="s">
        <v>1213</v>
      </c>
      <c r="C392" s="75">
        <v>56910600601</v>
      </c>
      <c r="D392" s="43" t="s">
        <v>1083</v>
      </c>
      <c r="E392" s="21" t="s">
        <v>86</v>
      </c>
      <c r="F392" s="47">
        <v>43109</v>
      </c>
    </row>
    <row r="393" spans="1:6" x14ac:dyDescent="0.3">
      <c r="A393" s="50">
        <v>348151</v>
      </c>
      <c r="B393" s="77" t="s">
        <v>1229</v>
      </c>
      <c r="C393" s="34" t="s">
        <v>1227</v>
      </c>
      <c r="D393" s="43" t="s">
        <v>48</v>
      </c>
      <c r="E393" s="21" t="s">
        <v>1228</v>
      </c>
      <c r="F393" s="47">
        <v>43109</v>
      </c>
    </row>
    <row r="394" spans="1:6" ht="27.95" x14ac:dyDescent="0.3">
      <c r="A394" s="50">
        <v>441162</v>
      </c>
      <c r="B394" s="77" t="s">
        <v>1226</v>
      </c>
      <c r="C394" s="34" t="s">
        <v>1178</v>
      </c>
      <c r="D394" s="43" t="s">
        <v>202</v>
      </c>
      <c r="E394" s="9" t="s">
        <v>1225</v>
      </c>
      <c r="F394" s="47">
        <v>43109</v>
      </c>
    </row>
    <row r="395" spans="1:6" ht="27.95" x14ac:dyDescent="0.3">
      <c r="A395" s="33">
        <v>394759</v>
      </c>
      <c r="B395" s="77" t="s">
        <v>1208</v>
      </c>
      <c r="C395" s="34" t="s">
        <v>1209</v>
      </c>
      <c r="D395" s="43" t="s">
        <v>202</v>
      </c>
      <c r="E395" s="9" t="s">
        <v>1207</v>
      </c>
      <c r="F395" s="47">
        <v>43109</v>
      </c>
    </row>
    <row r="396" spans="1:6" ht="27.95" x14ac:dyDescent="0.3">
      <c r="A396" s="50" t="s">
        <v>1210</v>
      </c>
      <c r="B396" s="42" t="s">
        <v>1211</v>
      </c>
      <c r="C396" s="34" t="s">
        <v>1212</v>
      </c>
      <c r="D396" s="43" t="s">
        <v>269</v>
      </c>
      <c r="E396" s="76" t="s">
        <v>1214</v>
      </c>
      <c r="F396" s="47">
        <v>43109</v>
      </c>
    </row>
    <row r="397" spans="1:6" x14ac:dyDescent="0.3">
      <c r="A397" s="50" t="s">
        <v>1204</v>
      </c>
      <c r="B397" s="42" t="s">
        <v>1205</v>
      </c>
      <c r="C397" s="34" t="s">
        <v>1206</v>
      </c>
      <c r="D397" s="43" t="s">
        <v>202</v>
      </c>
      <c r="E397" s="6" t="s">
        <v>1232</v>
      </c>
      <c r="F397" s="47">
        <v>43109</v>
      </c>
    </row>
    <row r="398" spans="1:6" x14ac:dyDescent="0.3">
      <c r="A398" s="50">
        <v>497438</v>
      </c>
      <c r="B398" s="42" t="s">
        <v>1219</v>
      </c>
      <c r="C398" s="34" t="s">
        <v>1223</v>
      </c>
      <c r="D398" s="43" t="s">
        <v>1220</v>
      </c>
      <c r="E398" s="9" t="s">
        <v>1222</v>
      </c>
      <c r="F398" s="47">
        <v>43109</v>
      </c>
    </row>
    <row r="399" spans="1:6" x14ac:dyDescent="0.3">
      <c r="A399" s="50">
        <v>497446</v>
      </c>
      <c r="B399" s="42" t="s">
        <v>1221</v>
      </c>
      <c r="C399" s="34" t="s">
        <v>1224</v>
      </c>
      <c r="D399" s="43" t="s">
        <v>1220</v>
      </c>
      <c r="E399" s="9" t="s">
        <v>1222</v>
      </c>
      <c r="F399" s="47">
        <v>43109</v>
      </c>
    </row>
    <row r="400" spans="1:6" x14ac:dyDescent="0.3">
      <c r="A400" s="78"/>
      <c r="B400" s="79"/>
      <c r="C400" s="80"/>
      <c r="D400" s="81"/>
      <c r="E400" s="82"/>
      <c r="F400" s="83"/>
    </row>
  </sheetData>
  <autoFilter ref="A3:F399" xr:uid="{00000000-0009-0000-0000-000003000000}"/>
  <printOptions gridLines="1"/>
  <pageMargins left="0" right="0" top="0.5" bottom="0.5" header="0.3" footer="0.3"/>
  <pageSetup paperSize="5" scale="87" fitToWidth="0" fitToHeight="0" orientation="landscape" horizontalDpi="4294967295" verticalDpi="4294967295" r:id="rId1"/>
  <headerFooter>
    <oddHeader>&amp;R&amp;D</oddHeader>
  </headerFooter>
  <ignoredErrors>
    <ignoredError sqref="A396:A397 A392 C393:C399 C370:C374 C376:C391 C322:C368 C320 C76:C290 C72:C74 C24:C70 C20:C23 C11:C18 C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495"/>
  <sheetViews>
    <sheetView view="pageBreakPreview" zoomScaleNormal="100" zoomScaleSheetLayoutView="100" workbookViewId="0">
      <pane ySplit="3" topLeftCell="A4" activePane="bottomLeft" state="frozen"/>
      <selection pane="bottomLeft" activeCell="B20" sqref="B20"/>
    </sheetView>
  </sheetViews>
  <sheetFormatPr defaultRowHeight="14" x14ac:dyDescent="0.3"/>
  <cols>
    <col min="1" max="1" width="13.3984375" style="4" customWidth="1"/>
    <col min="2" max="2" width="46.3984375" bestFit="1" customWidth="1"/>
    <col min="3" max="3" width="14.3984375" style="23" bestFit="1" customWidth="1"/>
    <col min="4" max="4" width="8.8984375" style="4" customWidth="1"/>
    <col min="5" max="5" width="64.3984375" customWidth="1"/>
    <col min="6" max="6" width="12.3984375" style="1" bestFit="1" customWidth="1"/>
    <col min="7" max="7" width="11.3984375" customWidth="1"/>
  </cols>
  <sheetData>
    <row r="1" spans="1:6" x14ac:dyDescent="0.3">
      <c r="A1" s="28" t="s">
        <v>0</v>
      </c>
    </row>
    <row r="2" spans="1:6" x14ac:dyDescent="0.3">
      <c r="E2" s="59"/>
    </row>
    <row r="3" spans="1:6" x14ac:dyDescent="0.3">
      <c r="A3" s="27" t="s">
        <v>1</v>
      </c>
      <c r="B3" s="2" t="s">
        <v>2</v>
      </c>
      <c r="C3" s="24" t="s">
        <v>23</v>
      </c>
      <c r="D3" s="22" t="s">
        <v>3</v>
      </c>
      <c r="E3" s="2" t="s">
        <v>17</v>
      </c>
      <c r="F3" s="3" t="s">
        <v>4</v>
      </c>
    </row>
    <row r="4" spans="1:6" s="64" customFormat="1" x14ac:dyDescent="0.3">
      <c r="A4" s="33">
        <v>476960</v>
      </c>
      <c r="B4" s="42" t="s">
        <v>1233</v>
      </c>
      <c r="C4" s="34" t="s">
        <v>1234</v>
      </c>
      <c r="D4" s="43" t="s">
        <v>25</v>
      </c>
      <c r="E4" s="6" t="s">
        <v>1231</v>
      </c>
      <c r="F4" s="47" t="s">
        <v>1230</v>
      </c>
    </row>
    <row r="5" spans="1:6" s="64" customFormat="1" x14ac:dyDescent="0.3">
      <c r="A5" s="33">
        <v>669499</v>
      </c>
      <c r="B5" s="42" t="s">
        <v>1215</v>
      </c>
      <c r="C5" s="34" t="s">
        <v>1216</v>
      </c>
      <c r="D5" s="43" t="s">
        <v>202</v>
      </c>
      <c r="E5" s="6" t="s">
        <v>5</v>
      </c>
      <c r="F5" s="47" t="s">
        <v>860</v>
      </c>
    </row>
    <row r="6" spans="1:6" s="64" customFormat="1" x14ac:dyDescent="0.3">
      <c r="A6" s="33">
        <v>569871</v>
      </c>
      <c r="B6" s="42" t="s">
        <v>1217</v>
      </c>
      <c r="C6" s="34" t="s">
        <v>1218</v>
      </c>
      <c r="D6" s="43" t="s">
        <v>202</v>
      </c>
      <c r="E6" s="6" t="s">
        <v>5</v>
      </c>
      <c r="F6" s="47" t="s">
        <v>860</v>
      </c>
    </row>
    <row r="7" spans="1:6" s="64" customFormat="1" x14ac:dyDescent="0.3">
      <c r="A7" s="50" t="s">
        <v>1196</v>
      </c>
      <c r="B7" s="42" t="s">
        <v>1199</v>
      </c>
      <c r="C7" s="34" t="s">
        <v>1198</v>
      </c>
      <c r="D7" s="43" t="s">
        <v>202</v>
      </c>
      <c r="E7" s="42" t="s">
        <v>1200</v>
      </c>
      <c r="F7" s="47">
        <v>43099</v>
      </c>
    </row>
    <row r="8" spans="1:6" s="64" customFormat="1" x14ac:dyDescent="0.3">
      <c r="A8" s="50" t="s">
        <v>1197</v>
      </c>
      <c r="B8" s="42" t="s">
        <v>1201</v>
      </c>
      <c r="C8" s="34" t="s">
        <v>1203</v>
      </c>
      <c r="D8" s="43" t="s">
        <v>202</v>
      </c>
      <c r="E8" s="42" t="s">
        <v>1202</v>
      </c>
      <c r="F8" s="47">
        <v>43099</v>
      </c>
    </row>
    <row r="9" spans="1:6" s="64" customFormat="1" x14ac:dyDescent="0.3">
      <c r="A9" s="50" t="s">
        <v>1186</v>
      </c>
      <c r="B9" s="42" t="s">
        <v>1189</v>
      </c>
      <c r="C9" s="34" t="s">
        <v>1190</v>
      </c>
      <c r="D9" s="43" t="s">
        <v>202</v>
      </c>
      <c r="E9" s="6" t="s">
        <v>331</v>
      </c>
      <c r="F9" s="47">
        <v>43099</v>
      </c>
    </row>
    <row r="10" spans="1:6" s="64" customFormat="1" x14ac:dyDescent="0.3">
      <c r="A10" s="50" t="s">
        <v>1187</v>
      </c>
      <c r="B10" s="42" t="s">
        <v>1191</v>
      </c>
      <c r="C10" s="34" t="s">
        <v>1192</v>
      </c>
      <c r="D10" s="43" t="s">
        <v>202</v>
      </c>
      <c r="E10" s="6" t="s">
        <v>331</v>
      </c>
      <c r="F10" s="47">
        <v>43099</v>
      </c>
    </row>
    <row r="11" spans="1:6" s="64" customFormat="1" x14ac:dyDescent="0.3">
      <c r="A11" s="50" t="s">
        <v>1188</v>
      </c>
      <c r="B11" s="42" t="s">
        <v>1193</v>
      </c>
      <c r="C11" s="34" t="s">
        <v>1194</v>
      </c>
      <c r="D11" s="43" t="s">
        <v>202</v>
      </c>
      <c r="E11" s="6" t="s">
        <v>331</v>
      </c>
      <c r="F11" s="47">
        <v>43099</v>
      </c>
    </row>
    <row r="12" spans="1:6" s="64" customFormat="1" x14ac:dyDescent="0.3">
      <c r="A12" s="50" t="s">
        <v>1090</v>
      </c>
      <c r="B12" s="42" t="s">
        <v>1195</v>
      </c>
      <c r="C12" s="34" t="s">
        <v>1097</v>
      </c>
      <c r="D12" s="43" t="s">
        <v>137</v>
      </c>
      <c r="E12" s="6" t="s">
        <v>331</v>
      </c>
      <c r="F12" s="47">
        <v>43099</v>
      </c>
    </row>
    <row r="13" spans="1:6" s="35" customFormat="1" ht="27.95" x14ac:dyDescent="0.3">
      <c r="A13" s="73">
        <v>65367</v>
      </c>
      <c r="B13" s="10" t="s">
        <v>1137</v>
      </c>
      <c r="C13" s="34" t="s">
        <v>1142</v>
      </c>
      <c r="D13" s="19" t="s">
        <v>202</v>
      </c>
      <c r="E13" s="9" t="s">
        <v>1143</v>
      </c>
      <c r="F13" s="47">
        <v>43092</v>
      </c>
    </row>
    <row r="14" spans="1:6" s="35" customFormat="1" ht="27.95" x14ac:dyDescent="0.3">
      <c r="A14" s="73">
        <v>146845</v>
      </c>
      <c r="B14" s="10" t="s">
        <v>495</v>
      </c>
      <c r="C14" s="34" t="s">
        <v>1144</v>
      </c>
      <c r="D14" s="19" t="s">
        <v>496</v>
      </c>
      <c r="E14" s="9" t="s">
        <v>1143</v>
      </c>
      <c r="F14" s="47">
        <v>43092</v>
      </c>
    </row>
    <row r="15" spans="1:6" s="35" customFormat="1" ht="27.95" x14ac:dyDescent="0.3">
      <c r="A15" s="73">
        <v>214890</v>
      </c>
      <c r="B15" s="10" t="s">
        <v>1138</v>
      </c>
      <c r="C15" s="34" t="s">
        <v>1145</v>
      </c>
      <c r="D15" s="19" t="s">
        <v>202</v>
      </c>
      <c r="E15" s="9" t="s">
        <v>1143</v>
      </c>
      <c r="F15" s="47">
        <v>43092</v>
      </c>
    </row>
    <row r="16" spans="1:6" s="35" customFormat="1" ht="27.95" x14ac:dyDescent="0.3">
      <c r="A16" s="73">
        <v>481556</v>
      </c>
      <c r="B16" s="10" t="s">
        <v>1139</v>
      </c>
      <c r="C16" s="34" t="s">
        <v>1146</v>
      </c>
      <c r="D16" s="19" t="s">
        <v>202</v>
      </c>
      <c r="E16" s="9" t="s">
        <v>1143</v>
      </c>
      <c r="F16" s="47">
        <v>43092</v>
      </c>
    </row>
    <row r="17" spans="1:6" s="35" customFormat="1" ht="27.95" x14ac:dyDescent="0.3">
      <c r="A17" s="73">
        <v>560243</v>
      </c>
      <c r="B17" s="10" t="s">
        <v>1140</v>
      </c>
      <c r="C17" s="34" t="s">
        <v>1147</v>
      </c>
      <c r="D17" s="19" t="s">
        <v>202</v>
      </c>
      <c r="E17" s="9" t="s">
        <v>1143</v>
      </c>
      <c r="F17" s="47">
        <v>43092</v>
      </c>
    </row>
    <row r="18" spans="1:6" s="35" customFormat="1" ht="27.95" x14ac:dyDescent="0.3">
      <c r="A18" s="73">
        <v>609875</v>
      </c>
      <c r="B18" s="10" t="s">
        <v>495</v>
      </c>
      <c r="C18" s="34" t="s">
        <v>1148</v>
      </c>
      <c r="D18" s="19" t="s">
        <v>202</v>
      </c>
      <c r="E18" s="9" t="s">
        <v>1143</v>
      </c>
      <c r="F18" s="47">
        <v>43092</v>
      </c>
    </row>
    <row r="19" spans="1:6" s="35" customFormat="1" ht="27.95" x14ac:dyDescent="0.3">
      <c r="A19" s="73">
        <v>613059</v>
      </c>
      <c r="B19" s="10" t="s">
        <v>1141</v>
      </c>
      <c r="C19" s="34" t="s">
        <v>1149</v>
      </c>
      <c r="D19" s="19" t="s">
        <v>202</v>
      </c>
      <c r="E19" s="9" t="s">
        <v>1143</v>
      </c>
      <c r="F19" s="47">
        <v>43092</v>
      </c>
    </row>
    <row r="20" spans="1:6" s="35" customFormat="1" ht="27.95" x14ac:dyDescent="0.3">
      <c r="A20" s="73">
        <v>12617</v>
      </c>
      <c r="B20" s="10" t="s">
        <v>1150</v>
      </c>
      <c r="C20" s="34" t="s">
        <v>1157</v>
      </c>
      <c r="D20" s="19" t="s">
        <v>202</v>
      </c>
      <c r="E20" s="9" t="s">
        <v>1174</v>
      </c>
      <c r="F20" s="47">
        <v>43092</v>
      </c>
    </row>
    <row r="21" spans="1:6" s="35" customFormat="1" ht="27.95" x14ac:dyDescent="0.3">
      <c r="A21" s="73">
        <v>12633</v>
      </c>
      <c r="B21" s="10" t="s">
        <v>1151</v>
      </c>
      <c r="C21" s="34" t="s">
        <v>1158</v>
      </c>
      <c r="D21" s="19" t="s">
        <v>202</v>
      </c>
      <c r="E21" s="9" t="s">
        <v>1174</v>
      </c>
      <c r="F21" s="47">
        <v>43092</v>
      </c>
    </row>
    <row r="22" spans="1:6" s="35" customFormat="1" ht="27.95" x14ac:dyDescent="0.3">
      <c r="A22" s="73">
        <v>49999</v>
      </c>
      <c r="B22" s="10" t="s">
        <v>1152</v>
      </c>
      <c r="C22" s="34" t="s">
        <v>1159</v>
      </c>
      <c r="D22" s="19" t="s">
        <v>202</v>
      </c>
      <c r="E22" s="9" t="s">
        <v>1174</v>
      </c>
      <c r="F22" s="47">
        <v>43092</v>
      </c>
    </row>
    <row r="23" spans="1:6" s="35" customFormat="1" ht="27.95" x14ac:dyDescent="0.3">
      <c r="A23" s="73">
        <v>53934</v>
      </c>
      <c r="B23" s="10" t="s">
        <v>1153</v>
      </c>
      <c r="C23" s="34" t="s">
        <v>1160</v>
      </c>
      <c r="D23" s="19" t="s">
        <v>202</v>
      </c>
      <c r="E23" s="9" t="s">
        <v>1174</v>
      </c>
      <c r="F23" s="47">
        <v>43092</v>
      </c>
    </row>
    <row r="24" spans="1:6" s="35" customFormat="1" ht="27.95" x14ac:dyDescent="0.3">
      <c r="A24" s="73">
        <v>415307</v>
      </c>
      <c r="B24" s="10" t="s">
        <v>1154</v>
      </c>
      <c r="C24" s="34" t="s">
        <v>1161</v>
      </c>
      <c r="D24" s="19" t="s">
        <v>202</v>
      </c>
      <c r="E24" s="9" t="s">
        <v>1174</v>
      </c>
      <c r="F24" s="47">
        <v>43092</v>
      </c>
    </row>
    <row r="25" spans="1:6" s="35" customFormat="1" ht="27.95" x14ac:dyDescent="0.3">
      <c r="A25" s="73">
        <v>471813</v>
      </c>
      <c r="B25" s="10" t="s">
        <v>1155</v>
      </c>
      <c r="C25" s="34" t="s">
        <v>1162</v>
      </c>
      <c r="D25" s="19" t="s">
        <v>759</v>
      </c>
      <c r="E25" s="9" t="s">
        <v>1174</v>
      </c>
      <c r="F25" s="47">
        <v>43092</v>
      </c>
    </row>
    <row r="26" spans="1:6" s="35" customFormat="1" ht="27.95" x14ac:dyDescent="0.3">
      <c r="A26" s="73">
        <v>522672</v>
      </c>
      <c r="B26" s="10" t="s">
        <v>1156</v>
      </c>
      <c r="C26" s="34" t="s">
        <v>1163</v>
      </c>
      <c r="D26" s="19" t="s">
        <v>759</v>
      </c>
      <c r="E26" s="9" t="s">
        <v>1174</v>
      </c>
      <c r="F26" s="47">
        <v>43092</v>
      </c>
    </row>
    <row r="27" spans="1:6" s="35" customFormat="1" ht="27.95" x14ac:dyDescent="0.3">
      <c r="A27" s="73">
        <v>53397</v>
      </c>
      <c r="B27" s="10" t="s">
        <v>1164</v>
      </c>
      <c r="C27" s="34" t="s">
        <v>1176</v>
      </c>
      <c r="D27" s="19" t="s">
        <v>759</v>
      </c>
      <c r="E27" s="9" t="s">
        <v>1175</v>
      </c>
      <c r="F27" s="47">
        <v>43092</v>
      </c>
    </row>
    <row r="28" spans="1:6" s="35" customFormat="1" ht="27.95" x14ac:dyDescent="0.3">
      <c r="A28" s="73">
        <v>341347</v>
      </c>
      <c r="B28" s="10" t="s">
        <v>1165</v>
      </c>
      <c r="C28" s="34" t="s">
        <v>1177</v>
      </c>
      <c r="D28" s="19" t="s">
        <v>202</v>
      </c>
      <c r="E28" s="9" t="s">
        <v>1175</v>
      </c>
      <c r="F28" s="47">
        <v>43092</v>
      </c>
    </row>
    <row r="29" spans="1:6" s="35" customFormat="1" ht="27.95" x14ac:dyDescent="0.3">
      <c r="A29" s="73">
        <v>441162</v>
      </c>
      <c r="B29" s="10" t="s">
        <v>332</v>
      </c>
      <c r="C29" s="34" t="s">
        <v>1178</v>
      </c>
      <c r="D29" s="19" t="s">
        <v>202</v>
      </c>
      <c r="E29" s="9" t="s">
        <v>1175</v>
      </c>
      <c r="F29" s="47">
        <v>43092</v>
      </c>
    </row>
    <row r="30" spans="1:6" s="35" customFormat="1" ht="27.95" x14ac:dyDescent="0.3">
      <c r="A30" s="73">
        <v>456582</v>
      </c>
      <c r="B30" s="10" t="s">
        <v>1166</v>
      </c>
      <c r="C30" s="34" t="s">
        <v>1178</v>
      </c>
      <c r="D30" s="19" t="s">
        <v>202</v>
      </c>
      <c r="E30" s="9" t="s">
        <v>1175</v>
      </c>
      <c r="F30" s="47">
        <v>43092</v>
      </c>
    </row>
    <row r="31" spans="1:6" s="35" customFormat="1" ht="27.95" x14ac:dyDescent="0.3">
      <c r="A31" s="73">
        <v>456590</v>
      </c>
      <c r="B31" s="10" t="s">
        <v>1167</v>
      </c>
      <c r="C31" s="34" t="s">
        <v>1179</v>
      </c>
      <c r="D31" s="19" t="s">
        <v>202</v>
      </c>
      <c r="E31" s="9" t="s">
        <v>1175</v>
      </c>
      <c r="F31" s="47">
        <v>43092</v>
      </c>
    </row>
    <row r="32" spans="1:6" s="35" customFormat="1" ht="27.95" x14ac:dyDescent="0.3">
      <c r="A32" s="73">
        <v>483545</v>
      </c>
      <c r="B32" s="10" t="s">
        <v>1168</v>
      </c>
      <c r="C32" s="34" t="s">
        <v>1180</v>
      </c>
      <c r="D32" s="19" t="s">
        <v>202</v>
      </c>
      <c r="E32" s="9" t="s">
        <v>1175</v>
      </c>
      <c r="F32" s="47">
        <v>43092</v>
      </c>
    </row>
    <row r="33" spans="1:6" s="35" customFormat="1" ht="27.95" x14ac:dyDescent="0.3">
      <c r="A33" s="73">
        <v>483552</v>
      </c>
      <c r="B33" s="10" t="s">
        <v>1169</v>
      </c>
      <c r="C33" s="34" t="s">
        <v>1181</v>
      </c>
      <c r="D33" s="19" t="s">
        <v>202</v>
      </c>
      <c r="E33" s="9" t="s">
        <v>1175</v>
      </c>
      <c r="F33" s="47">
        <v>43092</v>
      </c>
    </row>
    <row r="34" spans="1:6" s="35" customFormat="1" ht="27.95" x14ac:dyDescent="0.3">
      <c r="A34" s="73">
        <v>483958</v>
      </c>
      <c r="B34" s="10" t="s">
        <v>1170</v>
      </c>
      <c r="C34" s="34" t="s">
        <v>1182</v>
      </c>
      <c r="D34" s="19" t="s">
        <v>202</v>
      </c>
      <c r="E34" s="9" t="s">
        <v>1175</v>
      </c>
      <c r="F34" s="47">
        <v>43092</v>
      </c>
    </row>
    <row r="35" spans="1:6" s="35" customFormat="1" ht="27.95" x14ac:dyDescent="0.3">
      <c r="A35" s="73">
        <v>483966</v>
      </c>
      <c r="B35" s="10" t="s">
        <v>1171</v>
      </c>
      <c r="C35" s="34" t="s">
        <v>1183</v>
      </c>
      <c r="D35" s="19" t="s">
        <v>202</v>
      </c>
      <c r="E35" s="9" t="s">
        <v>1175</v>
      </c>
      <c r="F35" s="47">
        <v>43092</v>
      </c>
    </row>
    <row r="36" spans="1:6" s="35" customFormat="1" ht="27.95" x14ac:dyDescent="0.3">
      <c r="A36" s="73">
        <v>498089</v>
      </c>
      <c r="B36" s="10" t="s">
        <v>1172</v>
      </c>
      <c r="C36" s="34" t="s">
        <v>1184</v>
      </c>
      <c r="D36" s="19" t="s">
        <v>202</v>
      </c>
      <c r="E36" s="9" t="s">
        <v>1175</v>
      </c>
      <c r="F36" s="47">
        <v>43092</v>
      </c>
    </row>
    <row r="37" spans="1:6" s="35" customFormat="1" ht="27.95" x14ac:dyDescent="0.3">
      <c r="A37" s="73">
        <v>572156</v>
      </c>
      <c r="B37" s="10" t="s">
        <v>1173</v>
      </c>
      <c r="C37" s="34" t="s">
        <v>1185</v>
      </c>
      <c r="D37" s="19" t="s">
        <v>202</v>
      </c>
      <c r="E37" s="9" t="s">
        <v>1175</v>
      </c>
      <c r="F37" s="47">
        <v>43092</v>
      </c>
    </row>
    <row r="38" spans="1:6" s="35" customFormat="1" x14ac:dyDescent="0.3">
      <c r="A38" s="50">
        <v>544924</v>
      </c>
      <c r="B38" s="42" t="s">
        <v>1135</v>
      </c>
      <c r="C38" s="34" t="s">
        <v>1136</v>
      </c>
      <c r="D38" s="43" t="s">
        <v>25</v>
      </c>
      <c r="E38" s="21" t="s">
        <v>86</v>
      </c>
      <c r="F38" s="47">
        <v>43092</v>
      </c>
    </row>
    <row r="39" spans="1:6" s="35" customFormat="1" x14ac:dyDescent="0.3">
      <c r="A39" s="50">
        <v>613471</v>
      </c>
      <c r="B39" s="42" t="s">
        <v>1133</v>
      </c>
      <c r="C39" s="34" t="s">
        <v>1134</v>
      </c>
      <c r="D39" s="43" t="s">
        <v>202</v>
      </c>
      <c r="E39" s="6" t="s">
        <v>331</v>
      </c>
      <c r="F39" s="47">
        <v>43092</v>
      </c>
    </row>
    <row r="40" spans="1:6" s="64" customFormat="1" x14ac:dyDescent="0.3">
      <c r="A40" s="50" t="s">
        <v>1129</v>
      </c>
      <c r="B40" s="42" t="s">
        <v>1130</v>
      </c>
      <c r="C40" s="34" t="s">
        <v>1131</v>
      </c>
      <c r="D40" s="43" t="s">
        <v>202</v>
      </c>
      <c r="E40" s="21" t="s">
        <v>181</v>
      </c>
      <c r="F40" s="47">
        <v>43092</v>
      </c>
    </row>
    <row r="41" spans="1:6" s="64" customFormat="1" ht="27.95" x14ac:dyDescent="0.3">
      <c r="A41" s="50" t="s">
        <v>1125</v>
      </c>
      <c r="B41" s="42" t="s">
        <v>1126</v>
      </c>
      <c r="C41" s="34" t="s">
        <v>1127</v>
      </c>
      <c r="D41" s="43" t="s">
        <v>202</v>
      </c>
      <c r="E41" s="55" t="s">
        <v>1128</v>
      </c>
      <c r="F41" s="47" t="s">
        <v>860</v>
      </c>
    </row>
    <row r="42" spans="1:6" s="35" customFormat="1" x14ac:dyDescent="0.3">
      <c r="A42" s="50" t="s">
        <v>1121</v>
      </c>
      <c r="B42" s="42" t="s">
        <v>1122</v>
      </c>
      <c r="C42" s="34" t="s">
        <v>1124</v>
      </c>
      <c r="D42" s="43" t="s">
        <v>106</v>
      </c>
      <c r="E42" s="42" t="s">
        <v>1123</v>
      </c>
      <c r="F42" s="47">
        <v>43088</v>
      </c>
    </row>
    <row r="43" spans="1:6" s="35" customFormat="1" x14ac:dyDescent="0.3">
      <c r="A43" s="50" t="s">
        <v>1107</v>
      </c>
      <c r="B43" s="42" t="s">
        <v>1109</v>
      </c>
      <c r="C43" s="34" t="s">
        <v>1108</v>
      </c>
      <c r="D43" s="43" t="s">
        <v>202</v>
      </c>
      <c r="E43" s="21" t="s">
        <v>181</v>
      </c>
      <c r="F43" s="47">
        <v>43088</v>
      </c>
    </row>
    <row r="44" spans="1:6" s="35" customFormat="1" x14ac:dyDescent="0.3">
      <c r="A44" s="50" t="s">
        <v>1117</v>
      </c>
      <c r="B44" s="42" t="s">
        <v>1118</v>
      </c>
      <c r="C44" s="34" t="s">
        <v>1119</v>
      </c>
      <c r="D44" s="43" t="s">
        <v>98</v>
      </c>
      <c r="E44" s="21" t="s">
        <v>1120</v>
      </c>
      <c r="F44" s="47">
        <v>43088</v>
      </c>
    </row>
    <row r="45" spans="1:6" s="35" customFormat="1" x14ac:dyDescent="0.3">
      <c r="A45" s="50" t="s">
        <v>1113</v>
      </c>
      <c r="B45" s="42" t="s">
        <v>1114</v>
      </c>
      <c r="C45" s="34" t="s">
        <v>1116</v>
      </c>
      <c r="D45" s="43" t="s">
        <v>1115</v>
      </c>
      <c r="E45" s="21" t="s">
        <v>5</v>
      </c>
      <c r="F45" s="47" t="s">
        <v>860</v>
      </c>
    </row>
    <row r="46" spans="1:6" s="35" customFormat="1" x14ac:dyDescent="0.3">
      <c r="A46" s="50" t="s">
        <v>1110</v>
      </c>
      <c r="B46" s="42" t="s">
        <v>1112</v>
      </c>
      <c r="C46" s="34" t="s">
        <v>1111</v>
      </c>
      <c r="D46" s="43" t="s">
        <v>202</v>
      </c>
      <c r="E46" s="21" t="s">
        <v>5</v>
      </c>
      <c r="F46" s="47" t="s">
        <v>860</v>
      </c>
    </row>
    <row r="47" spans="1:6" s="35" customFormat="1" x14ac:dyDescent="0.3">
      <c r="A47" s="50" t="s">
        <v>1098</v>
      </c>
      <c r="B47" s="42" t="s">
        <v>1099</v>
      </c>
      <c r="C47" s="34" t="s">
        <v>1100</v>
      </c>
      <c r="D47" s="43" t="s">
        <v>25</v>
      </c>
      <c r="E47" s="21" t="s">
        <v>86</v>
      </c>
      <c r="F47" s="47">
        <v>43088</v>
      </c>
    </row>
    <row r="48" spans="1:6" s="64" customFormat="1" x14ac:dyDescent="0.3">
      <c r="A48" s="50" t="s">
        <v>1104</v>
      </c>
      <c r="B48" s="42" t="s">
        <v>1106</v>
      </c>
      <c r="C48" s="34" t="s">
        <v>1105</v>
      </c>
      <c r="D48" s="43" t="s">
        <v>202</v>
      </c>
      <c r="E48" s="6" t="s">
        <v>181</v>
      </c>
      <c r="F48" s="47" t="s">
        <v>860</v>
      </c>
    </row>
    <row r="49" spans="1:8" s="35" customFormat="1" x14ac:dyDescent="0.3">
      <c r="A49" s="50" t="s">
        <v>1101</v>
      </c>
      <c r="B49" s="42" t="s">
        <v>1102</v>
      </c>
      <c r="C49" s="34" t="s">
        <v>1103</v>
      </c>
      <c r="D49" s="43" t="s">
        <v>106</v>
      </c>
      <c r="E49" s="21" t="s">
        <v>181</v>
      </c>
      <c r="F49" s="47">
        <v>43081</v>
      </c>
    </row>
    <row r="50" spans="1:8" s="35" customFormat="1" x14ac:dyDescent="0.3">
      <c r="A50" s="50" t="s">
        <v>1091</v>
      </c>
      <c r="B50" s="42" t="s">
        <v>1081</v>
      </c>
      <c r="C50" s="34" t="s">
        <v>1082</v>
      </c>
      <c r="D50" s="43" t="s">
        <v>1080</v>
      </c>
      <c r="E50" s="21" t="s">
        <v>86</v>
      </c>
      <c r="F50" s="47">
        <v>43081</v>
      </c>
    </row>
    <row r="51" spans="1:8" s="35" customFormat="1" x14ac:dyDescent="0.3">
      <c r="A51" s="50" t="s">
        <v>1090</v>
      </c>
      <c r="B51" s="35" t="s">
        <v>1096</v>
      </c>
      <c r="C51" s="34" t="s">
        <v>1097</v>
      </c>
      <c r="D51" s="43" t="s">
        <v>137</v>
      </c>
      <c r="E51" s="21" t="s">
        <v>181</v>
      </c>
      <c r="F51" s="47">
        <v>43081</v>
      </c>
    </row>
    <row r="52" spans="1:8" s="35" customFormat="1" x14ac:dyDescent="0.3">
      <c r="A52" s="50" t="s">
        <v>1089</v>
      </c>
      <c r="B52" s="42" t="s">
        <v>1087</v>
      </c>
      <c r="C52" s="34" t="s">
        <v>1088</v>
      </c>
      <c r="D52" s="43" t="s">
        <v>202</v>
      </c>
      <c r="E52" s="21" t="s">
        <v>1040</v>
      </c>
      <c r="F52" s="47">
        <v>43081</v>
      </c>
    </row>
    <row r="53" spans="1:8" s="35" customFormat="1" x14ac:dyDescent="0.3">
      <c r="A53" s="50" t="s">
        <v>1092</v>
      </c>
      <c r="B53" s="42" t="s">
        <v>1086</v>
      </c>
      <c r="C53" s="34" t="s">
        <v>1085</v>
      </c>
      <c r="D53" s="43" t="s">
        <v>1083</v>
      </c>
      <c r="E53" s="21" t="s">
        <v>1084</v>
      </c>
      <c r="F53" s="47" t="s">
        <v>860</v>
      </c>
      <c r="H53" s="35" t="s">
        <v>1132</v>
      </c>
    </row>
    <row r="54" spans="1:8" s="35" customFormat="1" ht="27.95" x14ac:dyDescent="0.3">
      <c r="A54" s="50" t="s">
        <v>1093</v>
      </c>
      <c r="B54" s="42" t="s">
        <v>1072</v>
      </c>
      <c r="C54" s="34" t="s">
        <v>1073</v>
      </c>
      <c r="D54" s="43" t="s">
        <v>202</v>
      </c>
      <c r="E54" s="31" t="s">
        <v>1074</v>
      </c>
      <c r="F54" s="47">
        <v>43081</v>
      </c>
    </row>
    <row r="55" spans="1:8" s="35" customFormat="1" ht="27.95" x14ac:dyDescent="0.3">
      <c r="A55" s="50" t="s">
        <v>1094</v>
      </c>
      <c r="B55" s="42" t="s">
        <v>1075</v>
      </c>
      <c r="C55" s="34" t="s">
        <v>1079</v>
      </c>
      <c r="D55" s="43" t="s">
        <v>202</v>
      </c>
      <c r="E55" s="31" t="s">
        <v>1078</v>
      </c>
      <c r="F55" s="47">
        <v>43081</v>
      </c>
    </row>
    <row r="56" spans="1:8" s="35" customFormat="1" ht="27.95" x14ac:dyDescent="0.3">
      <c r="A56" s="50" t="s">
        <v>1095</v>
      </c>
      <c r="B56" s="42" t="s">
        <v>1076</v>
      </c>
      <c r="C56" s="34" t="s">
        <v>1077</v>
      </c>
      <c r="D56" s="43" t="s">
        <v>202</v>
      </c>
      <c r="E56" s="31" t="s">
        <v>1078</v>
      </c>
      <c r="F56" s="47">
        <v>43081</v>
      </c>
    </row>
    <row r="57" spans="1:8" s="35" customFormat="1" x14ac:dyDescent="0.3">
      <c r="A57" s="50" t="s">
        <v>783</v>
      </c>
      <c r="B57" s="42" t="s">
        <v>584</v>
      </c>
      <c r="C57" s="34" t="s">
        <v>585</v>
      </c>
      <c r="D57" s="71" t="s">
        <v>202</v>
      </c>
      <c r="E57" s="21" t="s">
        <v>1040</v>
      </c>
      <c r="F57" s="72">
        <v>43074</v>
      </c>
    </row>
    <row r="58" spans="1:8" s="35" customFormat="1" x14ac:dyDescent="0.3">
      <c r="A58" s="50" t="s">
        <v>1067</v>
      </c>
      <c r="B58" s="42" t="s">
        <v>1066</v>
      </c>
      <c r="C58" s="34" t="s">
        <v>1068</v>
      </c>
      <c r="D58" s="71" t="s">
        <v>48</v>
      </c>
      <c r="E58" s="21" t="s">
        <v>181</v>
      </c>
      <c r="F58" s="72">
        <v>43074</v>
      </c>
    </row>
    <row r="59" spans="1:8" s="35" customFormat="1" x14ac:dyDescent="0.3">
      <c r="A59" s="50" t="s">
        <v>1069</v>
      </c>
      <c r="B59" s="42" t="s">
        <v>1070</v>
      </c>
      <c r="C59" s="34" t="s">
        <v>1071</v>
      </c>
      <c r="D59" s="71" t="s">
        <v>37</v>
      </c>
      <c r="E59" s="21" t="s">
        <v>181</v>
      </c>
      <c r="F59" s="72">
        <v>43074</v>
      </c>
    </row>
    <row r="60" spans="1:8" s="64" customFormat="1" x14ac:dyDescent="0.3">
      <c r="A60" s="50" t="s">
        <v>1065</v>
      </c>
      <c r="B60" s="42" t="s">
        <v>1012</v>
      </c>
      <c r="C60" s="34" t="s">
        <v>1064</v>
      </c>
      <c r="D60" s="43" t="s">
        <v>1013</v>
      </c>
      <c r="E60" s="6" t="s">
        <v>86</v>
      </c>
      <c r="F60" s="8">
        <v>43067</v>
      </c>
      <c r="G60" s="35"/>
    </row>
    <row r="61" spans="1:8" s="64" customFormat="1" x14ac:dyDescent="0.3">
      <c r="A61" s="50" t="s">
        <v>1061</v>
      </c>
      <c r="B61" s="42" t="s">
        <v>1062</v>
      </c>
      <c r="C61" s="34" t="s">
        <v>1063</v>
      </c>
      <c r="D61" s="5" t="s">
        <v>76</v>
      </c>
      <c r="E61" s="6" t="s">
        <v>86</v>
      </c>
      <c r="F61" s="8">
        <v>43067</v>
      </c>
      <c r="G61" s="35"/>
    </row>
    <row r="62" spans="1:8" s="35" customFormat="1" x14ac:dyDescent="0.3">
      <c r="A62" s="50" t="s">
        <v>1056</v>
      </c>
      <c r="B62" s="42" t="s">
        <v>1058</v>
      </c>
      <c r="C62" s="34" t="s">
        <v>1059</v>
      </c>
      <c r="D62" s="5" t="s">
        <v>25</v>
      </c>
      <c r="E62" s="6" t="s">
        <v>86</v>
      </c>
      <c r="F62" s="8">
        <v>43067</v>
      </c>
    </row>
    <row r="63" spans="1:8" s="35" customFormat="1" x14ac:dyDescent="0.3">
      <c r="A63" s="50" t="s">
        <v>1057</v>
      </c>
      <c r="B63" s="42" t="s">
        <v>199</v>
      </c>
      <c r="C63" s="34" t="s">
        <v>1060</v>
      </c>
      <c r="D63" s="5" t="s">
        <v>25</v>
      </c>
      <c r="E63" s="6" t="s">
        <v>86</v>
      </c>
      <c r="F63" s="8">
        <v>43067</v>
      </c>
    </row>
    <row r="64" spans="1:8" s="64" customFormat="1" x14ac:dyDescent="0.3">
      <c r="A64" s="50" t="s">
        <v>1047</v>
      </c>
      <c r="B64" s="42" t="s">
        <v>1048</v>
      </c>
      <c r="C64" s="34" t="s">
        <v>1049</v>
      </c>
      <c r="D64" s="5" t="s">
        <v>202</v>
      </c>
      <c r="E64" s="6" t="s">
        <v>1040</v>
      </c>
      <c r="F64" s="8">
        <v>43067</v>
      </c>
    </row>
    <row r="65" spans="1:6" s="64" customFormat="1" x14ac:dyDescent="0.3">
      <c r="A65" s="50" t="s">
        <v>1050</v>
      </c>
      <c r="B65" s="70" t="s">
        <v>1051</v>
      </c>
      <c r="C65" s="34" t="s">
        <v>1052</v>
      </c>
      <c r="D65" s="5" t="s">
        <v>202</v>
      </c>
      <c r="E65" s="6" t="s">
        <v>1040</v>
      </c>
      <c r="F65" s="8">
        <v>43067</v>
      </c>
    </row>
    <row r="66" spans="1:6" s="64" customFormat="1" x14ac:dyDescent="0.3">
      <c r="A66" s="50" t="s">
        <v>1053</v>
      </c>
      <c r="B66" s="70" t="s">
        <v>1054</v>
      </c>
      <c r="C66" s="34" t="s">
        <v>1055</v>
      </c>
      <c r="D66" s="5" t="s">
        <v>202</v>
      </c>
      <c r="E66" s="6" t="s">
        <v>1040</v>
      </c>
      <c r="F66" s="8">
        <v>43067</v>
      </c>
    </row>
    <row r="67" spans="1:6" s="35" customFormat="1" x14ac:dyDescent="0.3">
      <c r="A67" s="50" t="s">
        <v>1043</v>
      </c>
      <c r="B67" s="42" t="s">
        <v>1044</v>
      </c>
      <c r="C67" s="34" t="s">
        <v>1045</v>
      </c>
      <c r="D67" s="43" t="s">
        <v>37</v>
      </c>
      <c r="E67" s="6" t="s">
        <v>1046</v>
      </c>
      <c r="F67" s="8">
        <v>43060</v>
      </c>
    </row>
    <row r="68" spans="1:6" s="64" customFormat="1" ht="14.1" customHeight="1" x14ac:dyDescent="0.3">
      <c r="A68" s="5" t="str">
        <f>"0178624"</f>
        <v>0178624</v>
      </c>
      <c r="B68" s="6" t="s">
        <v>1041</v>
      </c>
      <c r="C68" s="57" t="s">
        <v>1042</v>
      </c>
      <c r="D68" s="5" t="s">
        <v>202</v>
      </c>
      <c r="E68" s="6" t="s">
        <v>1040</v>
      </c>
      <c r="F68" s="8" t="s">
        <v>860</v>
      </c>
    </row>
    <row r="69" spans="1:6" s="64" customFormat="1" ht="27.95" x14ac:dyDescent="0.3">
      <c r="A69" s="5" t="str">
        <f>"0045617"</f>
        <v>0045617</v>
      </c>
      <c r="B69" s="6" t="s">
        <v>1036</v>
      </c>
      <c r="C69" s="26" t="str">
        <f>"777081725053"</f>
        <v>777081725053</v>
      </c>
      <c r="D69" s="5" t="s">
        <v>202</v>
      </c>
      <c r="E69" s="9" t="s">
        <v>1037</v>
      </c>
      <c r="F69" s="8">
        <v>43060</v>
      </c>
    </row>
    <row r="70" spans="1:6" s="64" customFormat="1" ht="14.1" customHeight="1" x14ac:dyDescent="0.3">
      <c r="A70" s="5" t="str">
        <f>"0130252"</f>
        <v>0130252</v>
      </c>
      <c r="B70" s="6" t="s">
        <v>556</v>
      </c>
      <c r="C70" s="26" t="str">
        <f>"670459007976"</f>
        <v>670459007976</v>
      </c>
      <c r="D70" s="5" t="s">
        <v>202</v>
      </c>
      <c r="E70" s="6" t="s">
        <v>5</v>
      </c>
      <c r="F70" s="8">
        <v>43060</v>
      </c>
    </row>
    <row r="71" spans="1:6" s="64" customFormat="1" ht="14.1" customHeight="1" x14ac:dyDescent="0.3">
      <c r="A71" s="5" t="str">
        <f>"0469031"</f>
        <v>0469031</v>
      </c>
      <c r="B71" s="6" t="s">
        <v>1038</v>
      </c>
      <c r="C71" s="26" t="str">
        <f>"670459007129"</f>
        <v>670459007129</v>
      </c>
      <c r="D71" s="5" t="s">
        <v>202</v>
      </c>
      <c r="E71" s="6" t="s">
        <v>5</v>
      </c>
      <c r="F71" s="8">
        <v>43060</v>
      </c>
    </row>
    <row r="72" spans="1:6" s="64" customFormat="1" ht="14.1" customHeight="1" x14ac:dyDescent="0.3">
      <c r="A72" s="5" t="str">
        <f>"0472522"</f>
        <v>0472522</v>
      </c>
      <c r="B72" s="6" t="s">
        <v>1039</v>
      </c>
      <c r="C72" s="26" t="str">
        <f>"628679910194"</f>
        <v>628679910194</v>
      </c>
      <c r="D72" s="5" t="s">
        <v>124</v>
      </c>
      <c r="E72" s="6" t="s">
        <v>86</v>
      </c>
      <c r="F72" s="8">
        <v>43060</v>
      </c>
    </row>
    <row r="73" spans="1:6" s="64" customFormat="1" ht="14.1" customHeight="1" x14ac:dyDescent="0.3">
      <c r="A73" s="5" t="str">
        <f>"0580118"</f>
        <v>0580118</v>
      </c>
      <c r="B73" s="6" t="s">
        <v>1005</v>
      </c>
      <c r="C73" s="26" t="str">
        <f>"785859200022"</f>
        <v>785859200022</v>
      </c>
      <c r="D73" s="5" t="s">
        <v>202</v>
      </c>
      <c r="E73" s="6" t="s">
        <v>1016</v>
      </c>
      <c r="F73" s="8" t="s">
        <v>860</v>
      </c>
    </row>
    <row r="74" spans="1:6" s="64" customFormat="1" ht="41.95" x14ac:dyDescent="0.3">
      <c r="A74" s="5" t="str">
        <f>"0365445"</f>
        <v>0365445</v>
      </c>
      <c r="B74" s="6" t="s">
        <v>1034</v>
      </c>
      <c r="C74" s="26" t="str">
        <f>"830677010121"</f>
        <v>830677010121</v>
      </c>
      <c r="D74" s="5" t="s">
        <v>48</v>
      </c>
      <c r="E74" s="9" t="s">
        <v>1035</v>
      </c>
      <c r="F74" s="8">
        <v>43054</v>
      </c>
    </row>
    <row r="75" spans="1:6" s="64" customFormat="1" ht="41.95" x14ac:dyDescent="0.3">
      <c r="A75" s="5" t="str">
        <f>"0130989"</f>
        <v>0130989</v>
      </c>
      <c r="B75" s="6" t="s">
        <v>1009</v>
      </c>
      <c r="C75" s="26" t="str">
        <f>"670459006160"</f>
        <v>670459006160</v>
      </c>
      <c r="D75" s="5" t="s">
        <v>202</v>
      </c>
      <c r="E75" s="9" t="s">
        <v>1010</v>
      </c>
      <c r="F75" s="8">
        <v>43054</v>
      </c>
    </row>
    <row r="76" spans="1:6" s="64" customFormat="1" ht="27.95" x14ac:dyDescent="0.3">
      <c r="A76" s="5" t="str">
        <f>"0032359"</f>
        <v>0032359</v>
      </c>
      <c r="B76" s="6" t="s">
        <v>1014</v>
      </c>
      <c r="C76" s="26" t="str">
        <f>"9028800751428"</f>
        <v>9028800751428</v>
      </c>
      <c r="D76" s="5" t="s">
        <v>48</v>
      </c>
      <c r="E76" s="9" t="s">
        <v>1015</v>
      </c>
      <c r="F76" s="8">
        <v>43054</v>
      </c>
    </row>
    <row r="77" spans="1:6" s="64" customFormat="1" ht="14.1" customHeight="1" x14ac:dyDescent="0.3">
      <c r="A77" s="5" t="str">
        <f>"0399576"</f>
        <v>0399576</v>
      </c>
      <c r="B77" s="6" t="s">
        <v>1011</v>
      </c>
      <c r="C77" s="26" t="str">
        <f>"795563300420"</f>
        <v>795563300420</v>
      </c>
      <c r="D77" s="5" t="s">
        <v>37</v>
      </c>
      <c r="E77" s="6" t="s">
        <v>5</v>
      </c>
      <c r="F77" s="8">
        <v>43054</v>
      </c>
    </row>
    <row r="78" spans="1:6" s="64" customFormat="1" ht="14.1" customHeight="1" x14ac:dyDescent="0.3">
      <c r="A78" s="5" t="str">
        <f>"0515213"</f>
        <v>0515213</v>
      </c>
      <c r="B78" s="6" t="s">
        <v>1012</v>
      </c>
      <c r="C78" s="26" t="str">
        <f>"602573184073"</f>
        <v>602573184073</v>
      </c>
      <c r="D78" s="5" t="s">
        <v>1013</v>
      </c>
      <c r="E78" s="6" t="s">
        <v>86</v>
      </c>
      <c r="F78" s="8">
        <v>43054</v>
      </c>
    </row>
    <row r="79" spans="1:6" s="64" customFormat="1" ht="14.1" customHeight="1" x14ac:dyDescent="0.3">
      <c r="A79" s="5">
        <v>29728</v>
      </c>
      <c r="B79" s="6" t="s">
        <v>1033</v>
      </c>
      <c r="C79" s="26" t="str">
        <f>"8410113003089"</f>
        <v>8410113003089</v>
      </c>
      <c r="D79" s="5" t="s">
        <v>202</v>
      </c>
      <c r="E79" s="6" t="s">
        <v>5</v>
      </c>
      <c r="F79" s="8">
        <v>43054</v>
      </c>
    </row>
    <row r="80" spans="1:6" s="64" customFormat="1" ht="14.1" customHeight="1" x14ac:dyDescent="0.3">
      <c r="A80" s="5" t="str">
        <f>"0419119"</f>
        <v>0419119</v>
      </c>
      <c r="B80" s="6" t="s">
        <v>994</v>
      </c>
      <c r="C80" s="26" t="str">
        <f>"626824000141"</f>
        <v>626824000141</v>
      </c>
      <c r="D80" s="5" t="s">
        <v>25</v>
      </c>
      <c r="E80" s="6" t="s">
        <v>5</v>
      </c>
      <c r="F80" s="8">
        <v>43046</v>
      </c>
    </row>
    <row r="81" spans="1:6" s="64" customFormat="1" ht="14.1" customHeight="1" x14ac:dyDescent="0.3">
      <c r="A81" s="5" t="str">
        <f>"0053090"</f>
        <v>0053090</v>
      </c>
      <c r="B81" s="6" t="s">
        <v>997</v>
      </c>
      <c r="C81" s="26" t="str">
        <f>"872086000232"</f>
        <v>872086000232</v>
      </c>
      <c r="D81" s="5" t="s">
        <v>202</v>
      </c>
      <c r="E81" s="6" t="s">
        <v>5</v>
      </c>
      <c r="F81" s="8">
        <v>43046</v>
      </c>
    </row>
    <row r="82" spans="1:6" s="64" customFormat="1" ht="14.1" customHeight="1" x14ac:dyDescent="0.3">
      <c r="A82" s="5" t="str">
        <f>"0304022"</f>
        <v>0304022</v>
      </c>
      <c r="B82" s="6" t="s">
        <v>998</v>
      </c>
      <c r="C82" s="26" t="str">
        <f>"7804350596373"</f>
        <v>7804350596373</v>
      </c>
      <c r="D82" s="5" t="s">
        <v>202</v>
      </c>
      <c r="E82" s="6" t="s">
        <v>635</v>
      </c>
      <c r="F82" s="8">
        <v>43046</v>
      </c>
    </row>
    <row r="83" spans="1:6" s="64" customFormat="1" ht="14.1" customHeight="1" x14ac:dyDescent="0.3">
      <c r="A83" s="5" t="s">
        <v>999</v>
      </c>
      <c r="B83" s="6" t="s">
        <v>1000</v>
      </c>
      <c r="C83" s="26" t="s">
        <v>1001</v>
      </c>
      <c r="D83" s="5" t="s">
        <v>202</v>
      </c>
      <c r="E83" s="6" t="s">
        <v>5</v>
      </c>
      <c r="F83" s="8">
        <v>43046</v>
      </c>
    </row>
    <row r="84" spans="1:6" s="64" customFormat="1" ht="14.1" customHeight="1" x14ac:dyDescent="0.3">
      <c r="A84" s="5" t="s">
        <v>1002</v>
      </c>
      <c r="B84" s="6" t="s">
        <v>1003</v>
      </c>
      <c r="C84" s="26" t="s">
        <v>1004</v>
      </c>
      <c r="D84" s="5" t="s">
        <v>202</v>
      </c>
      <c r="E84" s="6" t="s">
        <v>5</v>
      </c>
      <c r="F84" s="8">
        <v>43046</v>
      </c>
    </row>
    <row r="85" spans="1:6" s="64" customFormat="1" ht="14.1" customHeight="1" x14ac:dyDescent="0.3">
      <c r="A85" s="66" t="str">
        <f>"0580118"</f>
        <v>0580118</v>
      </c>
      <c r="B85" s="67" t="s">
        <v>1005</v>
      </c>
      <c r="C85" s="68" t="str">
        <f>"785859200022"</f>
        <v>785859200022</v>
      </c>
      <c r="D85" s="66" t="s">
        <v>202</v>
      </c>
      <c r="E85" s="67" t="s">
        <v>5</v>
      </c>
      <c r="F85" s="69">
        <v>43046</v>
      </c>
    </row>
    <row r="86" spans="1:6" s="64" customFormat="1" ht="14.1" customHeight="1" x14ac:dyDescent="0.3">
      <c r="A86" s="5" t="str">
        <f>"0265272"</f>
        <v>0265272</v>
      </c>
      <c r="B86" s="6" t="s">
        <v>1006</v>
      </c>
      <c r="C86" s="26" t="str">
        <f>"034100005542"</f>
        <v>034100005542</v>
      </c>
      <c r="D86" s="5" t="s">
        <v>37</v>
      </c>
      <c r="E86" s="6" t="s">
        <v>5</v>
      </c>
      <c r="F86" s="8">
        <v>43046</v>
      </c>
    </row>
    <row r="87" spans="1:6" s="64" customFormat="1" ht="14.1" customHeight="1" x14ac:dyDescent="0.3">
      <c r="A87" s="5" t="str">
        <f>"0067710"</f>
        <v>0067710</v>
      </c>
      <c r="B87" s="6" t="s">
        <v>686</v>
      </c>
      <c r="C87" s="26" t="str">
        <f>"625640786758"</f>
        <v>625640786758</v>
      </c>
      <c r="D87" s="5" t="s">
        <v>294</v>
      </c>
      <c r="E87" s="6" t="s">
        <v>86</v>
      </c>
      <c r="F87" s="8">
        <v>43039</v>
      </c>
    </row>
    <row r="88" spans="1:6" s="64" customFormat="1" ht="14.1" customHeight="1" x14ac:dyDescent="0.3">
      <c r="A88" s="5" t="str">
        <f>"0498683"</f>
        <v>0498683</v>
      </c>
      <c r="B88" s="6" t="s">
        <v>673</v>
      </c>
      <c r="C88" s="26" t="str">
        <f>"621433021112"</f>
        <v>621433021112</v>
      </c>
      <c r="D88" s="5" t="s">
        <v>555</v>
      </c>
      <c r="E88" s="6" t="s">
        <v>86</v>
      </c>
      <c r="F88" s="8">
        <v>43039</v>
      </c>
    </row>
    <row r="89" spans="1:6" s="64" customFormat="1" ht="14.1" customHeight="1" x14ac:dyDescent="0.3">
      <c r="A89" s="5" t="str">
        <f>"0447938"</f>
        <v>0447938</v>
      </c>
      <c r="B89" s="6" t="s">
        <v>988</v>
      </c>
      <c r="C89" s="26" t="str">
        <f>"626990091332"</f>
        <v>626990091332</v>
      </c>
      <c r="D89" s="5" t="s">
        <v>37</v>
      </c>
      <c r="E89" s="6" t="s">
        <v>5</v>
      </c>
      <c r="F89" s="8">
        <v>43039</v>
      </c>
    </row>
    <row r="90" spans="1:6" s="64" customFormat="1" ht="27.95" x14ac:dyDescent="0.3">
      <c r="A90" s="5" t="str">
        <f>"0424119"</f>
        <v>0424119</v>
      </c>
      <c r="B90" s="6" t="s">
        <v>989</v>
      </c>
      <c r="C90" s="26" t="str">
        <f>"627843472506"</f>
        <v>627843472506</v>
      </c>
      <c r="D90" s="5" t="s">
        <v>48</v>
      </c>
      <c r="E90" s="9" t="s">
        <v>990</v>
      </c>
      <c r="F90" s="8">
        <v>43039</v>
      </c>
    </row>
    <row r="91" spans="1:6" s="64" customFormat="1" ht="14.1" customHeight="1" x14ac:dyDescent="0.3">
      <c r="A91" s="5" t="str">
        <f>"0369520"</f>
        <v>0369520</v>
      </c>
      <c r="B91" s="6" t="s">
        <v>509</v>
      </c>
      <c r="C91" s="26" t="str">
        <f>"776029703061"</f>
        <v>776029703061</v>
      </c>
      <c r="D91" s="5" t="s">
        <v>25</v>
      </c>
      <c r="E91" s="6" t="s">
        <v>991</v>
      </c>
      <c r="F91" s="8">
        <v>43039</v>
      </c>
    </row>
    <row r="92" spans="1:6" s="64" customFormat="1" ht="14.1" customHeight="1" x14ac:dyDescent="0.3">
      <c r="A92" s="5" t="str">
        <f>"0497685"</f>
        <v>0497685</v>
      </c>
      <c r="B92" s="6" t="s">
        <v>992</v>
      </c>
      <c r="C92" s="26" t="str">
        <f>"628669018084"</f>
        <v>628669018084</v>
      </c>
      <c r="D92" s="5" t="s">
        <v>98</v>
      </c>
      <c r="E92" s="6" t="s">
        <v>86</v>
      </c>
      <c r="F92" s="8">
        <v>43039</v>
      </c>
    </row>
    <row r="93" spans="1:6" s="64" customFormat="1" ht="14.1" customHeight="1" x14ac:dyDescent="0.3">
      <c r="A93" s="5" t="str">
        <f>"0483214"</f>
        <v>0483214</v>
      </c>
      <c r="B93" s="6" t="s">
        <v>993</v>
      </c>
      <c r="C93" s="26" t="str">
        <f>"832136007109"</f>
        <v>832136007109</v>
      </c>
      <c r="D93" s="5" t="s">
        <v>202</v>
      </c>
      <c r="E93" s="6" t="s">
        <v>5</v>
      </c>
      <c r="F93" s="8">
        <v>43039</v>
      </c>
    </row>
    <row r="94" spans="1:6" s="64" customFormat="1" ht="14.1" customHeight="1" x14ac:dyDescent="0.3">
      <c r="A94" s="5">
        <v>297622</v>
      </c>
      <c r="B94" s="6" t="s">
        <v>1017</v>
      </c>
      <c r="C94" s="26" t="s">
        <v>1018</v>
      </c>
      <c r="D94" s="5" t="s">
        <v>137</v>
      </c>
      <c r="E94" s="6" t="s">
        <v>5</v>
      </c>
      <c r="F94" s="8">
        <v>43036</v>
      </c>
    </row>
    <row r="95" spans="1:6" s="64" customFormat="1" ht="14.1" customHeight="1" x14ac:dyDescent="0.3">
      <c r="A95" s="5">
        <v>361014</v>
      </c>
      <c r="B95" s="6" t="s">
        <v>1019</v>
      </c>
      <c r="C95" s="26" t="s">
        <v>1020</v>
      </c>
      <c r="D95" s="5" t="s">
        <v>202</v>
      </c>
      <c r="E95" s="6" t="s">
        <v>5</v>
      </c>
      <c r="F95" s="8">
        <v>43036</v>
      </c>
    </row>
    <row r="96" spans="1:6" s="64" customFormat="1" ht="14.1" customHeight="1" x14ac:dyDescent="0.3">
      <c r="A96" s="5">
        <v>419002</v>
      </c>
      <c r="B96" s="6" t="s">
        <v>1021</v>
      </c>
      <c r="C96" s="26" t="s">
        <v>1022</v>
      </c>
      <c r="D96" s="5" t="s">
        <v>202</v>
      </c>
      <c r="E96" s="6" t="s">
        <v>5</v>
      </c>
      <c r="F96" s="8">
        <v>43036</v>
      </c>
    </row>
    <row r="97" spans="1:6" s="64" customFormat="1" ht="14.1" customHeight="1" x14ac:dyDescent="0.3">
      <c r="A97" s="5">
        <v>421073</v>
      </c>
      <c r="B97" s="6" t="s">
        <v>1023</v>
      </c>
      <c r="C97" s="26" t="s">
        <v>1024</v>
      </c>
      <c r="D97" s="5" t="s">
        <v>202</v>
      </c>
      <c r="E97" s="6" t="s">
        <v>5</v>
      </c>
      <c r="F97" s="8">
        <v>43036</v>
      </c>
    </row>
    <row r="98" spans="1:6" s="64" customFormat="1" ht="14.1" customHeight="1" x14ac:dyDescent="0.3">
      <c r="A98" s="5">
        <v>441741</v>
      </c>
      <c r="B98" s="6" t="s">
        <v>1025</v>
      </c>
      <c r="C98" s="26" t="s">
        <v>1026</v>
      </c>
      <c r="D98" s="5" t="s">
        <v>202</v>
      </c>
      <c r="E98" s="6" t="s">
        <v>5</v>
      </c>
      <c r="F98" s="8">
        <v>43036</v>
      </c>
    </row>
    <row r="99" spans="1:6" s="64" customFormat="1" ht="14.1" customHeight="1" x14ac:dyDescent="0.3">
      <c r="A99" s="5">
        <v>442228</v>
      </c>
      <c r="B99" s="6" t="s">
        <v>1027</v>
      </c>
      <c r="C99" s="26" t="s">
        <v>1028</v>
      </c>
      <c r="D99" s="5" t="s">
        <v>202</v>
      </c>
      <c r="E99" s="6" t="s">
        <v>5</v>
      </c>
      <c r="F99" s="8">
        <v>43036</v>
      </c>
    </row>
    <row r="100" spans="1:6" s="64" customFormat="1" ht="14.1" customHeight="1" x14ac:dyDescent="0.3">
      <c r="A100" s="5">
        <v>449199</v>
      </c>
      <c r="B100" s="6" t="s">
        <v>1029</v>
      </c>
      <c r="C100" s="26" t="s">
        <v>1030</v>
      </c>
      <c r="D100" s="5" t="s">
        <v>202</v>
      </c>
      <c r="E100" s="6" t="s">
        <v>5</v>
      </c>
      <c r="F100" s="8">
        <v>43036</v>
      </c>
    </row>
    <row r="101" spans="1:6" s="64" customFormat="1" ht="14.1" customHeight="1" x14ac:dyDescent="0.3">
      <c r="A101" s="5">
        <v>459974</v>
      </c>
      <c r="B101" s="6" t="s">
        <v>1031</v>
      </c>
      <c r="C101" s="26" t="s">
        <v>1032</v>
      </c>
      <c r="D101" s="5" t="s">
        <v>202</v>
      </c>
      <c r="E101" s="6" t="s">
        <v>5</v>
      </c>
      <c r="F101" s="8">
        <v>43036</v>
      </c>
    </row>
    <row r="102" spans="1:6" s="64" customFormat="1" ht="14.1" customHeight="1" x14ac:dyDescent="0.3">
      <c r="A102" s="5" t="str">
        <f>"0479592"</f>
        <v>0479592</v>
      </c>
      <c r="B102" s="6" t="s">
        <v>768</v>
      </c>
      <c r="C102" s="26" t="str">
        <f>"627843498001"</f>
        <v>627843498001</v>
      </c>
      <c r="D102" s="5" t="s">
        <v>25</v>
      </c>
      <c r="E102" s="6" t="s">
        <v>5</v>
      </c>
      <c r="F102" s="8">
        <v>43032</v>
      </c>
    </row>
    <row r="103" spans="1:6" s="64" customFormat="1" ht="14.1" customHeight="1" x14ac:dyDescent="0.3">
      <c r="A103" s="5" t="str">
        <f>"0518746"</f>
        <v>0518746</v>
      </c>
      <c r="B103" s="6" t="s">
        <v>1007</v>
      </c>
      <c r="C103" s="26" t="str">
        <f>"627843062608"</f>
        <v>627843062608</v>
      </c>
      <c r="D103" s="5" t="s">
        <v>202</v>
      </c>
      <c r="E103" s="6" t="s">
        <v>331</v>
      </c>
      <c r="F103" s="8">
        <v>43028</v>
      </c>
    </row>
    <row r="104" spans="1:6" s="64" customFormat="1" ht="14.1" customHeight="1" x14ac:dyDescent="0.3">
      <c r="A104" s="5" t="str">
        <f>"0143743"</f>
        <v>0143743</v>
      </c>
      <c r="B104" s="6" t="s">
        <v>1008</v>
      </c>
      <c r="C104" s="26" t="str">
        <f>"8422443002519"</f>
        <v>8422443002519</v>
      </c>
      <c r="D104" s="5" t="s">
        <v>202</v>
      </c>
      <c r="E104" s="6" t="s">
        <v>635</v>
      </c>
      <c r="F104" s="8">
        <v>43028</v>
      </c>
    </row>
    <row r="105" spans="1:6" s="64" customFormat="1" ht="14.1" customHeight="1" x14ac:dyDescent="0.3">
      <c r="A105" s="5" t="str">
        <f>"0230201"</f>
        <v>0230201</v>
      </c>
      <c r="B105" s="6" t="s">
        <v>995</v>
      </c>
      <c r="C105" s="26" t="str">
        <f>"627128112240"</f>
        <v>627128112240</v>
      </c>
      <c r="D105" s="5" t="s">
        <v>202</v>
      </c>
      <c r="E105" s="6" t="s">
        <v>5</v>
      </c>
      <c r="F105" s="8">
        <v>43026</v>
      </c>
    </row>
    <row r="106" spans="1:6" s="64" customFormat="1" ht="14.1" customHeight="1" x14ac:dyDescent="0.3">
      <c r="A106" s="5" t="str">
        <f>"0362830"</f>
        <v>0362830</v>
      </c>
      <c r="B106" s="6" t="s">
        <v>996</v>
      </c>
      <c r="C106" s="26" t="str">
        <f>"627128113261"</f>
        <v>627128113261</v>
      </c>
      <c r="D106" s="5" t="s">
        <v>202</v>
      </c>
      <c r="E106" s="6" t="s">
        <v>5</v>
      </c>
      <c r="F106" s="8">
        <v>43026</v>
      </c>
    </row>
    <row r="107" spans="1:6" s="64" customFormat="1" ht="14.1" customHeight="1" x14ac:dyDescent="0.3">
      <c r="A107" s="5" t="str">
        <f>"0522276"</f>
        <v>0522276</v>
      </c>
      <c r="B107" s="6" t="s">
        <v>983</v>
      </c>
      <c r="C107" s="26" t="str">
        <f>"874414000167"</f>
        <v>874414000167</v>
      </c>
      <c r="D107" s="5" t="s">
        <v>25</v>
      </c>
      <c r="E107" s="6" t="s">
        <v>86</v>
      </c>
      <c r="F107" s="8">
        <v>43025</v>
      </c>
    </row>
    <row r="108" spans="1:6" s="64" customFormat="1" ht="14.1" customHeight="1" x14ac:dyDescent="0.3">
      <c r="A108" s="5" t="str">
        <f>"0458539"</f>
        <v>0458539</v>
      </c>
      <c r="B108" s="6" t="s">
        <v>986</v>
      </c>
      <c r="C108" s="26" t="str">
        <f>"742832061056"</f>
        <v>742832061056</v>
      </c>
      <c r="D108" s="5" t="s">
        <v>25</v>
      </c>
      <c r="E108" s="6" t="s">
        <v>5</v>
      </c>
      <c r="F108" s="8">
        <v>43025</v>
      </c>
    </row>
    <row r="109" spans="1:6" s="64" customFormat="1" ht="14.1" customHeight="1" x14ac:dyDescent="0.3">
      <c r="A109" s="5" t="str">
        <f>"0449892"</f>
        <v>0449892</v>
      </c>
      <c r="B109" s="6" t="s">
        <v>930</v>
      </c>
      <c r="C109" s="26" t="str">
        <f>"818662000043"</f>
        <v>818662000043</v>
      </c>
      <c r="D109" s="5" t="s">
        <v>25</v>
      </c>
      <c r="E109" s="6" t="s">
        <v>86</v>
      </c>
      <c r="F109" s="8">
        <v>43019</v>
      </c>
    </row>
    <row r="110" spans="1:6" s="64" customFormat="1" ht="27.95" x14ac:dyDescent="0.3">
      <c r="A110" s="5" t="str">
        <f>"0334375"</f>
        <v>0334375</v>
      </c>
      <c r="B110" s="6" t="s">
        <v>500</v>
      </c>
      <c r="C110" s="26" t="str">
        <f>"628055930211"</f>
        <v>628055930211</v>
      </c>
      <c r="D110" s="5" t="s">
        <v>294</v>
      </c>
      <c r="E110" s="9" t="s">
        <v>975</v>
      </c>
      <c r="F110" s="8">
        <v>43019</v>
      </c>
    </row>
    <row r="111" spans="1:6" s="64" customFormat="1" ht="27.95" x14ac:dyDescent="0.3">
      <c r="A111" s="5" t="str">
        <f>"0397471"</f>
        <v>0397471</v>
      </c>
      <c r="B111" s="6" t="s">
        <v>973</v>
      </c>
      <c r="C111" s="26" t="str">
        <f>"627843230090"</f>
        <v>627843230090</v>
      </c>
      <c r="D111" s="5" t="s">
        <v>294</v>
      </c>
      <c r="E111" s="9" t="s">
        <v>974</v>
      </c>
      <c r="F111" s="8">
        <v>43019</v>
      </c>
    </row>
    <row r="112" spans="1:6" s="64" customFormat="1" ht="27.95" x14ac:dyDescent="0.3">
      <c r="A112" s="5" t="str">
        <f>"0485607"</f>
        <v>0485607</v>
      </c>
      <c r="B112" s="6" t="s">
        <v>977</v>
      </c>
      <c r="C112" s="26" t="str">
        <f>"779327194418"</f>
        <v>779327194418</v>
      </c>
      <c r="D112" s="5" t="s">
        <v>202</v>
      </c>
      <c r="E112" s="9" t="s">
        <v>978</v>
      </c>
      <c r="F112" s="8">
        <v>43019</v>
      </c>
    </row>
    <row r="113" spans="1:24" s="64" customFormat="1" ht="14.1" customHeight="1" x14ac:dyDescent="0.3">
      <c r="A113" s="5" t="str">
        <f>"0271858"</f>
        <v>0271858</v>
      </c>
      <c r="B113" s="6" t="s">
        <v>979</v>
      </c>
      <c r="C113" s="26" t="str">
        <f>"856217000100"</f>
        <v>856217000100</v>
      </c>
      <c r="D113" s="5" t="s">
        <v>25</v>
      </c>
      <c r="E113" s="6" t="s">
        <v>5</v>
      </c>
      <c r="F113" s="8">
        <v>43019</v>
      </c>
    </row>
    <row r="114" spans="1:24" s="64" customFormat="1" ht="14.1" customHeight="1" x14ac:dyDescent="0.3">
      <c r="A114" s="5" t="str">
        <f>"0492058"</f>
        <v>0492058</v>
      </c>
      <c r="B114" s="6" t="s">
        <v>980</v>
      </c>
      <c r="C114" s="26" t="str">
        <f>"856217000124"</f>
        <v>856217000124</v>
      </c>
      <c r="D114" s="5" t="s">
        <v>25</v>
      </c>
      <c r="E114" s="6" t="s">
        <v>5</v>
      </c>
      <c r="F114" s="8">
        <v>43019</v>
      </c>
    </row>
    <row r="115" spans="1:24" s="64" customFormat="1" ht="14.1" customHeight="1" x14ac:dyDescent="0.3">
      <c r="A115" s="5" t="str">
        <f>"0479030"</f>
        <v>0479030</v>
      </c>
      <c r="B115" s="6" t="s">
        <v>241</v>
      </c>
      <c r="C115" s="26" t="str">
        <f>"856217000193"</f>
        <v>856217000193</v>
      </c>
      <c r="D115" s="5" t="s">
        <v>25</v>
      </c>
      <c r="E115" s="6" t="s">
        <v>86</v>
      </c>
      <c r="F115" s="8">
        <v>43019</v>
      </c>
    </row>
    <row r="116" spans="1:24" s="64" customFormat="1" ht="14.1" customHeight="1" x14ac:dyDescent="0.3">
      <c r="A116" s="5" t="str">
        <f>"0146829"</f>
        <v>0146829</v>
      </c>
      <c r="B116" s="6" t="s">
        <v>987</v>
      </c>
      <c r="C116" s="26" t="str">
        <f>"874537033141"</f>
        <v>874537033141</v>
      </c>
      <c r="D116" s="5" t="s">
        <v>496</v>
      </c>
      <c r="E116" s="6" t="s">
        <v>331</v>
      </c>
      <c r="F116" s="8">
        <v>43013</v>
      </c>
    </row>
    <row r="117" spans="1:24" s="63" customFormat="1" ht="14.1" customHeight="1" x14ac:dyDescent="0.3">
      <c r="A117" s="5" t="str">
        <f>"0515056"</f>
        <v>0515056</v>
      </c>
      <c r="B117" s="6" t="s">
        <v>953</v>
      </c>
      <c r="C117" s="26" t="str">
        <f>"717390416938"</f>
        <v>717390416938</v>
      </c>
      <c r="D117" s="5" t="s">
        <v>25</v>
      </c>
      <c r="E117" s="6" t="s">
        <v>86</v>
      </c>
      <c r="F117" s="8">
        <v>43011</v>
      </c>
    </row>
    <row r="118" spans="1:24" s="63" customFormat="1" x14ac:dyDescent="0.3">
      <c r="A118" s="5" t="str">
        <f>"0164087"</f>
        <v>0164087</v>
      </c>
      <c r="B118" s="6" t="s">
        <v>963</v>
      </c>
      <c r="C118" s="26" t="str">
        <f>"663935100322"</f>
        <v>663935100322</v>
      </c>
      <c r="D118" s="5" t="s">
        <v>202</v>
      </c>
      <c r="E118" s="6" t="s">
        <v>5</v>
      </c>
      <c r="F118" s="8">
        <v>43011</v>
      </c>
    </row>
    <row r="119" spans="1:24" s="63" customFormat="1" x14ac:dyDescent="0.3">
      <c r="A119" s="5" t="s">
        <v>964</v>
      </c>
      <c r="B119" s="6" t="s">
        <v>965</v>
      </c>
      <c r="C119" s="26" t="s">
        <v>966</v>
      </c>
      <c r="D119" s="5" t="s">
        <v>202</v>
      </c>
      <c r="E119" s="6" t="s">
        <v>5</v>
      </c>
      <c r="F119" s="8">
        <v>43011</v>
      </c>
    </row>
    <row r="120" spans="1:24" s="63" customFormat="1" x14ac:dyDescent="0.3">
      <c r="A120" s="5" t="s">
        <v>967</v>
      </c>
      <c r="B120" s="6" t="s">
        <v>968</v>
      </c>
      <c r="C120" s="26" t="s">
        <v>969</v>
      </c>
      <c r="D120" s="5" t="s">
        <v>202</v>
      </c>
      <c r="E120" s="6" t="s">
        <v>5</v>
      </c>
      <c r="F120" s="8">
        <v>43011</v>
      </c>
    </row>
    <row r="121" spans="1:24" s="64" customFormat="1" x14ac:dyDescent="0.3">
      <c r="A121" s="5" t="s">
        <v>970</v>
      </c>
      <c r="B121" s="6" t="s">
        <v>971</v>
      </c>
      <c r="C121" s="26" t="s">
        <v>972</v>
      </c>
      <c r="D121" s="5" t="s">
        <v>202</v>
      </c>
      <c r="E121" s="6" t="s">
        <v>5</v>
      </c>
      <c r="F121" s="8">
        <v>43011</v>
      </c>
    </row>
    <row r="122" spans="1:24" s="63" customFormat="1" ht="27.95" x14ac:dyDescent="0.3">
      <c r="A122" s="5" t="str">
        <f>"0370361"</f>
        <v>0370361</v>
      </c>
      <c r="B122" s="6" t="s">
        <v>954</v>
      </c>
      <c r="C122" s="26" t="s">
        <v>202</v>
      </c>
      <c r="D122" s="5">
        <v>6</v>
      </c>
      <c r="E122" s="9" t="s">
        <v>962</v>
      </c>
      <c r="F122" s="8">
        <v>43011</v>
      </c>
      <c r="I122" s="63" t="s">
        <v>955</v>
      </c>
      <c r="J122" s="63" t="s">
        <v>956</v>
      </c>
      <c r="K122" s="63" t="s">
        <v>957</v>
      </c>
      <c r="L122" s="63" t="s">
        <v>958</v>
      </c>
      <c r="M122" s="63" t="s">
        <v>958</v>
      </c>
      <c r="N122" s="63" t="s">
        <v>958</v>
      </c>
      <c r="O122" s="63" t="s">
        <v>958</v>
      </c>
      <c r="P122" s="63" t="str">
        <f>"110.16"</f>
        <v>110.16</v>
      </c>
      <c r="Q122" s="63" t="str">
        <f>"18.36"</f>
        <v>18.36</v>
      </c>
      <c r="R122" s="63" t="str">
        <f>"20.95"</f>
        <v>20.95</v>
      </c>
      <c r="S122" s="63">
        <v>0.2</v>
      </c>
      <c r="T122" s="63" t="s">
        <v>959</v>
      </c>
      <c r="U122" s="63" t="s">
        <v>960</v>
      </c>
      <c r="V122" s="63" t="s">
        <v>961</v>
      </c>
      <c r="W122" s="63">
        <v>1</v>
      </c>
      <c r="X122" s="63" t="str">
        <f>"10670459006655"</f>
        <v>10670459006655</v>
      </c>
    </row>
    <row r="123" spans="1:24" s="64" customFormat="1" ht="14.1" customHeight="1" x14ac:dyDescent="0.3">
      <c r="A123" s="5" t="str">
        <f>"0466656"</f>
        <v>0466656</v>
      </c>
      <c r="B123" s="6" t="s">
        <v>984</v>
      </c>
      <c r="C123" s="26" t="str">
        <f>"627843321712"</f>
        <v>627843321712</v>
      </c>
      <c r="D123" s="5" t="s">
        <v>48</v>
      </c>
      <c r="E123" s="6" t="s">
        <v>86</v>
      </c>
      <c r="F123" s="8">
        <v>43007</v>
      </c>
    </row>
    <row r="124" spans="1:24" s="64" customFormat="1" ht="14.1" customHeight="1" x14ac:dyDescent="0.3">
      <c r="A124" s="5" t="str">
        <f>"0449801"</f>
        <v>0449801</v>
      </c>
      <c r="B124" s="6" t="s">
        <v>985</v>
      </c>
      <c r="C124" s="26" t="str">
        <f>"627843321743"</f>
        <v>627843321743</v>
      </c>
      <c r="D124" s="5" t="s">
        <v>48</v>
      </c>
      <c r="E124" s="6" t="s">
        <v>5</v>
      </c>
      <c r="F124" s="8">
        <v>43007</v>
      </c>
    </row>
    <row r="125" spans="1:24" ht="14.1" customHeight="1" x14ac:dyDescent="0.3">
      <c r="A125" s="5" t="str">
        <f>"0369702"</f>
        <v>0369702</v>
      </c>
      <c r="B125" s="6" t="s">
        <v>942</v>
      </c>
      <c r="C125" s="26" t="str">
        <f>"624080022693"</f>
        <v>624080022693</v>
      </c>
      <c r="D125" s="5" t="s">
        <v>202</v>
      </c>
      <c r="E125" s="6" t="s">
        <v>331</v>
      </c>
      <c r="F125" s="8">
        <v>43004</v>
      </c>
    </row>
    <row r="126" spans="1:24" s="63" customFormat="1" ht="41.95" x14ac:dyDescent="0.3">
      <c r="A126" s="5" t="s">
        <v>943</v>
      </c>
      <c r="B126" s="6" t="s">
        <v>944</v>
      </c>
      <c r="C126" s="26" t="s">
        <v>945</v>
      </c>
      <c r="D126" s="5" t="s">
        <v>202</v>
      </c>
      <c r="E126" s="65" t="s">
        <v>946</v>
      </c>
      <c r="F126" s="8">
        <v>43004</v>
      </c>
    </row>
    <row r="127" spans="1:24" s="64" customFormat="1" ht="14.1" customHeight="1" x14ac:dyDescent="0.3">
      <c r="A127" s="5" t="str">
        <f>"0448209"</f>
        <v>0448209</v>
      </c>
      <c r="B127" s="6" t="s">
        <v>981</v>
      </c>
      <c r="C127" s="26" t="str">
        <f>"856217000148"</f>
        <v>856217000148</v>
      </c>
      <c r="D127" s="5" t="s">
        <v>25</v>
      </c>
      <c r="E127" s="6" t="s">
        <v>5</v>
      </c>
      <c r="F127" s="8">
        <v>43001</v>
      </c>
    </row>
    <row r="128" spans="1:24" s="64" customFormat="1" ht="14.1" customHeight="1" x14ac:dyDescent="0.3">
      <c r="A128" s="5" t="str">
        <f>"0507368"</f>
        <v>0507368</v>
      </c>
      <c r="B128" s="6" t="s">
        <v>982</v>
      </c>
      <c r="C128" s="26" t="str">
        <f>"856217000322"</f>
        <v>856217000322</v>
      </c>
      <c r="D128" s="5" t="s">
        <v>124</v>
      </c>
      <c r="E128" s="6" t="s">
        <v>5</v>
      </c>
      <c r="F128" s="8">
        <v>43001</v>
      </c>
    </row>
    <row r="129" spans="1:6" s="64" customFormat="1" ht="27.95" x14ac:dyDescent="0.3">
      <c r="A129" s="5" t="str">
        <f>"0362772"</f>
        <v>0362772</v>
      </c>
      <c r="B129" s="6" t="s">
        <v>293</v>
      </c>
      <c r="C129" s="26" t="str">
        <f>"628055930242"</f>
        <v>628055930242</v>
      </c>
      <c r="D129" s="5" t="s">
        <v>294</v>
      </c>
      <c r="E129" s="9" t="s">
        <v>976</v>
      </c>
      <c r="F129" s="8">
        <v>42999</v>
      </c>
    </row>
    <row r="130" spans="1:6" ht="27.95" x14ac:dyDescent="0.3">
      <c r="A130" s="5" t="str">
        <f>"0462580"</f>
        <v>0462580</v>
      </c>
      <c r="B130" s="6" t="s">
        <v>935</v>
      </c>
      <c r="C130" s="26" t="str">
        <f>"882842000017"</f>
        <v>882842000017</v>
      </c>
      <c r="D130" s="5" t="s">
        <v>25</v>
      </c>
      <c r="E130" s="9" t="s">
        <v>937</v>
      </c>
      <c r="F130" s="8">
        <v>42997</v>
      </c>
    </row>
    <row r="131" spans="1:6" ht="27.95" x14ac:dyDescent="0.3">
      <c r="A131" s="5" t="str">
        <f>"0490466"</f>
        <v>0490466</v>
      </c>
      <c r="B131" s="6" t="s">
        <v>936</v>
      </c>
      <c r="C131" s="26" t="str">
        <f>"882842000031"</f>
        <v>882842000031</v>
      </c>
      <c r="D131" s="5" t="s">
        <v>25</v>
      </c>
      <c r="E131" s="9" t="s">
        <v>937</v>
      </c>
      <c r="F131" s="8">
        <v>42997</v>
      </c>
    </row>
    <row r="132" spans="1:6" ht="27.95" x14ac:dyDescent="0.3">
      <c r="A132" s="5" t="str">
        <f>"0518795"</f>
        <v>0518795</v>
      </c>
      <c r="B132" s="6" t="s">
        <v>940</v>
      </c>
      <c r="C132" s="26" t="str">
        <f>"7350064990759"</f>
        <v>7350064990759</v>
      </c>
      <c r="D132" s="5" t="s">
        <v>25</v>
      </c>
      <c r="E132" s="48" t="s">
        <v>941</v>
      </c>
      <c r="F132" s="8">
        <v>42997</v>
      </c>
    </row>
    <row r="133" spans="1:6" x14ac:dyDescent="0.3">
      <c r="A133" s="5" t="str">
        <f>"0518829"</f>
        <v>0518829</v>
      </c>
      <c r="B133" s="6" t="s">
        <v>933</v>
      </c>
      <c r="C133" s="26" t="str">
        <f>"628113004472"</f>
        <v>628113004472</v>
      </c>
      <c r="D133" s="5" t="s">
        <v>29</v>
      </c>
      <c r="E133" s="6" t="s">
        <v>5</v>
      </c>
      <c r="F133" s="8">
        <v>42997</v>
      </c>
    </row>
    <row r="134" spans="1:6" x14ac:dyDescent="0.3">
      <c r="A134" s="5" t="str">
        <f>"0518837"</f>
        <v>0518837</v>
      </c>
      <c r="B134" s="6" t="s">
        <v>934</v>
      </c>
      <c r="C134" s="26" t="str">
        <f>"628113004465"</f>
        <v>628113004465</v>
      </c>
      <c r="D134" s="5" t="s">
        <v>29</v>
      </c>
      <c r="E134" s="6" t="s">
        <v>5</v>
      </c>
      <c r="F134" s="8">
        <v>42997</v>
      </c>
    </row>
    <row r="135" spans="1:6" ht="14.1" customHeight="1" x14ac:dyDescent="0.3">
      <c r="A135" s="5" t="str">
        <f>"0498196"</f>
        <v>0498196</v>
      </c>
      <c r="B135" s="6" t="s">
        <v>938</v>
      </c>
      <c r="C135" s="26" t="str">
        <f>"087692005292"</f>
        <v>087692005292</v>
      </c>
      <c r="D135" s="5" t="s">
        <v>37</v>
      </c>
      <c r="E135" s="6" t="s">
        <v>5</v>
      </c>
      <c r="F135" s="8">
        <v>42997</v>
      </c>
    </row>
    <row r="136" spans="1:6" ht="14.1" customHeight="1" x14ac:dyDescent="0.3">
      <c r="A136" s="5" t="str">
        <f>"0134148"</f>
        <v>0134148</v>
      </c>
      <c r="B136" s="6" t="s">
        <v>939</v>
      </c>
      <c r="C136" s="26" t="str">
        <f>"627005094010"</f>
        <v>627005094010</v>
      </c>
      <c r="D136" s="5" t="s">
        <v>25</v>
      </c>
      <c r="E136" s="6" t="s">
        <v>5</v>
      </c>
      <c r="F136" s="8">
        <v>42997</v>
      </c>
    </row>
    <row r="137" spans="1:6" ht="14.1" customHeight="1" x14ac:dyDescent="0.3">
      <c r="A137" s="5" t="str">
        <f>"0474478"</f>
        <v>0474478</v>
      </c>
      <c r="B137" s="6" t="s">
        <v>919</v>
      </c>
      <c r="C137" s="26" t="str">
        <f>"795563300598"</f>
        <v>795563300598</v>
      </c>
      <c r="D137" s="5" t="s">
        <v>25</v>
      </c>
      <c r="E137" s="6" t="s">
        <v>5</v>
      </c>
      <c r="F137" s="8">
        <v>42990</v>
      </c>
    </row>
    <row r="138" spans="1:6" ht="41.95" x14ac:dyDescent="0.3">
      <c r="A138" s="5" t="str">
        <f>"0079426"</f>
        <v>0079426</v>
      </c>
      <c r="B138" s="6" t="s">
        <v>920</v>
      </c>
      <c r="C138" s="26" t="str">
        <f>"777081520641"</f>
        <v>777081520641</v>
      </c>
      <c r="D138" s="5" t="s">
        <v>496</v>
      </c>
      <c r="E138" s="9" t="s">
        <v>921</v>
      </c>
      <c r="F138" s="8">
        <v>42990</v>
      </c>
    </row>
    <row r="139" spans="1:6" ht="14.1" customHeight="1" x14ac:dyDescent="0.3">
      <c r="A139" s="5" t="str">
        <f>"0514836"</f>
        <v>0514836</v>
      </c>
      <c r="B139" s="6" t="s">
        <v>922</v>
      </c>
      <c r="C139" s="26" t="str">
        <f>"186360050104"</f>
        <v>186360050104</v>
      </c>
      <c r="D139" s="5" t="s">
        <v>25</v>
      </c>
      <c r="E139" s="6" t="s">
        <v>5</v>
      </c>
      <c r="F139" s="8">
        <v>42990</v>
      </c>
    </row>
    <row r="140" spans="1:6" ht="27.95" x14ac:dyDescent="0.3">
      <c r="A140" s="5" t="s">
        <v>923</v>
      </c>
      <c r="B140" s="6" t="s">
        <v>924</v>
      </c>
      <c r="C140" s="26" t="s">
        <v>925</v>
      </c>
      <c r="D140" s="5" t="s">
        <v>25</v>
      </c>
      <c r="E140" s="9" t="s">
        <v>932</v>
      </c>
      <c r="F140" s="8">
        <v>42990</v>
      </c>
    </row>
    <row r="141" spans="1:6" ht="27.95" x14ac:dyDescent="0.3">
      <c r="A141" s="5" t="s">
        <v>926</v>
      </c>
      <c r="B141" s="6" t="s">
        <v>927</v>
      </c>
      <c r="C141" s="26" t="s">
        <v>928</v>
      </c>
      <c r="D141" s="5" t="s">
        <v>25</v>
      </c>
      <c r="E141" s="9" t="s">
        <v>932</v>
      </c>
      <c r="F141" s="8">
        <v>42990</v>
      </c>
    </row>
    <row r="142" spans="1:6" ht="27.95" x14ac:dyDescent="0.3">
      <c r="A142" s="5" t="s">
        <v>929</v>
      </c>
      <c r="B142" s="6" t="s">
        <v>930</v>
      </c>
      <c r="C142" s="26" t="s">
        <v>931</v>
      </c>
      <c r="D142" s="5" t="s">
        <v>25</v>
      </c>
      <c r="E142" s="9" t="s">
        <v>932</v>
      </c>
      <c r="F142" s="8">
        <v>42990</v>
      </c>
    </row>
    <row r="143" spans="1:6" s="63" customFormat="1" ht="14.1" customHeight="1" x14ac:dyDescent="0.3">
      <c r="A143" s="5" t="s">
        <v>947</v>
      </c>
      <c r="B143" s="6" t="s">
        <v>948</v>
      </c>
      <c r="C143" s="26" t="s">
        <v>949</v>
      </c>
      <c r="D143" s="5" t="s">
        <v>202</v>
      </c>
      <c r="E143" s="6" t="s">
        <v>5</v>
      </c>
      <c r="F143" s="8">
        <v>42987</v>
      </c>
    </row>
    <row r="144" spans="1:6" s="63" customFormat="1" ht="14.1" customHeight="1" x14ac:dyDescent="0.3">
      <c r="A144" s="5" t="s">
        <v>950</v>
      </c>
      <c r="B144" s="6" t="s">
        <v>951</v>
      </c>
      <c r="C144" s="26" t="s">
        <v>952</v>
      </c>
      <c r="D144" s="5" t="s">
        <v>137</v>
      </c>
      <c r="E144" s="6" t="s">
        <v>5</v>
      </c>
      <c r="F144" s="8">
        <v>42987</v>
      </c>
    </row>
    <row r="145" spans="1:6" ht="14.1" customHeight="1" x14ac:dyDescent="0.3">
      <c r="A145" s="5" t="str">
        <f>"0484998"</f>
        <v>0484998</v>
      </c>
      <c r="B145" s="6" t="s">
        <v>916</v>
      </c>
      <c r="C145" s="26" t="str">
        <f>"777081716860"</f>
        <v>777081716860</v>
      </c>
      <c r="D145" s="5" t="s">
        <v>202</v>
      </c>
      <c r="E145" s="6" t="s">
        <v>86</v>
      </c>
      <c r="F145" s="8">
        <v>42984</v>
      </c>
    </row>
    <row r="146" spans="1:6" ht="14.1" customHeight="1" x14ac:dyDescent="0.3">
      <c r="A146" s="5" t="str">
        <f>"0499210"</f>
        <v>0499210</v>
      </c>
      <c r="B146" s="6" t="s">
        <v>917</v>
      </c>
      <c r="C146" s="26" t="str">
        <f>"812339000572"</f>
        <v>812339000572</v>
      </c>
      <c r="D146" s="5" t="s">
        <v>25</v>
      </c>
      <c r="E146" s="6" t="s">
        <v>5</v>
      </c>
      <c r="F146" s="8">
        <v>42984</v>
      </c>
    </row>
    <row r="147" spans="1:6" x14ac:dyDescent="0.3">
      <c r="A147" s="5" t="str">
        <f>"0519959"</f>
        <v>0519959</v>
      </c>
      <c r="B147" s="6" t="s">
        <v>914</v>
      </c>
      <c r="C147" s="26" t="str">
        <f>"602573184080"</f>
        <v>602573184080</v>
      </c>
      <c r="D147" s="5" t="s">
        <v>76</v>
      </c>
      <c r="E147" s="6" t="s">
        <v>5</v>
      </c>
      <c r="F147" s="8">
        <v>42976</v>
      </c>
    </row>
    <row r="148" spans="1:6" x14ac:dyDescent="0.3">
      <c r="A148" s="5" t="str">
        <f>"0352757"</f>
        <v>0352757</v>
      </c>
      <c r="B148" s="6" t="s">
        <v>905</v>
      </c>
      <c r="C148" s="26" t="str">
        <f>"8008960146068"</f>
        <v>8008960146068</v>
      </c>
      <c r="D148" s="5" t="s">
        <v>202</v>
      </c>
      <c r="E148" s="6" t="s">
        <v>5</v>
      </c>
      <c r="F148" s="8">
        <v>42976</v>
      </c>
    </row>
    <row r="149" spans="1:6" x14ac:dyDescent="0.3">
      <c r="A149" s="5" t="str">
        <f>"0437665"</f>
        <v>0437665</v>
      </c>
      <c r="B149" s="6" t="s">
        <v>166</v>
      </c>
      <c r="C149" s="26" t="str">
        <f>"832958000517"</f>
        <v>832958000517</v>
      </c>
      <c r="D149" s="5" t="s">
        <v>25</v>
      </c>
      <c r="E149" s="6" t="s">
        <v>5</v>
      </c>
      <c r="F149" s="8">
        <v>42976</v>
      </c>
    </row>
    <row r="150" spans="1:6" x14ac:dyDescent="0.3">
      <c r="A150" s="5" t="str">
        <f>"0191288"</f>
        <v>0191288</v>
      </c>
      <c r="B150" s="6" t="s">
        <v>906</v>
      </c>
      <c r="C150" s="26" t="str">
        <f>"852500001076"</f>
        <v>852500001076</v>
      </c>
      <c r="D150" s="5" t="s">
        <v>25</v>
      </c>
      <c r="E150" s="6" t="s">
        <v>5</v>
      </c>
      <c r="F150" s="8">
        <v>42976</v>
      </c>
    </row>
    <row r="151" spans="1:6" x14ac:dyDescent="0.3">
      <c r="A151" s="5" t="str">
        <f>"0175349"</f>
        <v>0175349</v>
      </c>
      <c r="B151" s="6" t="s">
        <v>574</v>
      </c>
      <c r="C151" s="26" t="str">
        <f>"063657023198"</f>
        <v>063657023198</v>
      </c>
      <c r="D151" s="5" t="s">
        <v>202</v>
      </c>
      <c r="E151" s="6" t="s">
        <v>5</v>
      </c>
      <c r="F151" s="8">
        <v>42976</v>
      </c>
    </row>
    <row r="152" spans="1:6" x14ac:dyDescent="0.3">
      <c r="A152" s="5" t="s">
        <v>907</v>
      </c>
      <c r="B152" s="6" t="s">
        <v>908</v>
      </c>
      <c r="C152" s="26" t="s">
        <v>909</v>
      </c>
      <c r="D152" s="5" t="s">
        <v>202</v>
      </c>
      <c r="E152" s="9" t="s">
        <v>913</v>
      </c>
      <c r="F152" s="8">
        <v>42976</v>
      </c>
    </row>
    <row r="153" spans="1:6" x14ac:dyDescent="0.3">
      <c r="A153" s="5" t="s">
        <v>910</v>
      </c>
      <c r="B153" s="6" t="s">
        <v>911</v>
      </c>
      <c r="C153" s="26" t="s">
        <v>912</v>
      </c>
      <c r="D153" s="5" t="s">
        <v>202</v>
      </c>
      <c r="E153" s="9" t="s">
        <v>913</v>
      </c>
      <c r="F153" s="8">
        <v>42976</v>
      </c>
    </row>
    <row r="154" spans="1:6" ht="15.05" customHeight="1" x14ac:dyDescent="0.3">
      <c r="A154" s="5" t="str">
        <f>"0460337"</f>
        <v>0460337</v>
      </c>
      <c r="B154" s="6" t="s">
        <v>243</v>
      </c>
      <c r="C154" s="26" t="str">
        <f>"870766000060"</f>
        <v>870766000060</v>
      </c>
      <c r="D154" s="5" t="s">
        <v>25</v>
      </c>
      <c r="E154" s="6" t="s">
        <v>5</v>
      </c>
      <c r="F154" s="8">
        <v>42969</v>
      </c>
    </row>
    <row r="155" spans="1:6" ht="15.05" customHeight="1" x14ac:dyDescent="0.3">
      <c r="A155" s="5" t="str">
        <f>"0341743"</f>
        <v>0341743</v>
      </c>
      <c r="B155" s="6" t="s">
        <v>891</v>
      </c>
      <c r="C155" s="26" t="str">
        <f>"048162013339"</f>
        <v>048162013339</v>
      </c>
      <c r="D155" s="5" t="s">
        <v>202</v>
      </c>
      <c r="E155" s="6" t="s">
        <v>86</v>
      </c>
      <c r="F155" s="8">
        <v>42969</v>
      </c>
    </row>
    <row r="156" spans="1:6" ht="15.05" customHeight="1" x14ac:dyDescent="0.3">
      <c r="A156" s="5" t="str">
        <f>"0467084"</f>
        <v>0467084</v>
      </c>
      <c r="B156" s="6" t="s">
        <v>892</v>
      </c>
      <c r="C156" s="26" t="str">
        <f>"013964998023"</f>
        <v>013964998023</v>
      </c>
      <c r="D156" s="5" t="s">
        <v>76</v>
      </c>
      <c r="E156" s="6" t="s">
        <v>5</v>
      </c>
      <c r="F156" s="8">
        <v>42969</v>
      </c>
    </row>
    <row r="157" spans="1:6" ht="15.05" customHeight="1" x14ac:dyDescent="0.3">
      <c r="A157" s="5" t="str">
        <f>"0318956"</f>
        <v>0318956</v>
      </c>
      <c r="B157" s="6" t="s">
        <v>895</v>
      </c>
      <c r="C157" s="26" t="str">
        <f>"8410261754017"</f>
        <v>8410261754017</v>
      </c>
      <c r="D157" s="5" t="s">
        <v>202</v>
      </c>
      <c r="E157" s="6" t="s">
        <v>5</v>
      </c>
      <c r="F157" s="8">
        <v>42969</v>
      </c>
    </row>
    <row r="158" spans="1:6" ht="15.05" customHeight="1" x14ac:dyDescent="0.3">
      <c r="A158" s="5" t="str">
        <f>"0470229"</f>
        <v>0470229</v>
      </c>
      <c r="B158" s="6" t="s">
        <v>896</v>
      </c>
      <c r="C158" s="26" t="str">
        <f>"8007116993952"</f>
        <v>8007116993952</v>
      </c>
      <c r="D158" s="5" t="s">
        <v>202</v>
      </c>
      <c r="E158" s="6" t="s">
        <v>5</v>
      </c>
      <c r="F158" s="8">
        <v>42969</v>
      </c>
    </row>
    <row r="159" spans="1:6" ht="15.05" customHeight="1" x14ac:dyDescent="0.3">
      <c r="A159" s="5" t="str">
        <f>"0255885"</f>
        <v>0255885</v>
      </c>
      <c r="B159" s="6" t="s">
        <v>897</v>
      </c>
      <c r="C159" s="26" t="str">
        <f>"641586130042"</f>
        <v>641586130042</v>
      </c>
      <c r="D159" s="5" t="s">
        <v>202</v>
      </c>
      <c r="E159" s="6" t="s">
        <v>5</v>
      </c>
      <c r="F159" s="8">
        <v>42969</v>
      </c>
    </row>
    <row r="160" spans="1:6" ht="15.05" customHeight="1" x14ac:dyDescent="0.3">
      <c r="A160" s="5" t="str">
        <f>"0398750"</f>
        <v>0398750</v>
      </c>
      <c r="B160" s="6" t="s">
        <v>901</v>
      </c>
      <c r="C160" s="26" t="str">
        <f>"874702000060"</f>
        <v>874702000060</v>
      </c>
      <c r="D160" s="5" t="s">
        <v>37</v>
      </c>
      <c r="E160" s="6" t="s">
        <v>5</v>
      </c>
      <c r="F160" s="8">
        <v>42969</v>
      </c>
    </row>
    <row r="161" spans="1:6" ht="15.05" customHeight="1" x14ac:dyDescent="0.3">
      <c r="A161" s="5" t="str">
        <f>"0413831"</f>
        <v>0413831</v>
      </c>
      <c r="B161" s="6" t="s">
        <v>902</v>
      </c>
      <c r="C161" s="26" t="str">
        <f>"814049009234"</f>
        <v>814049009234</v>
      </c>
      <c r="D161" s="5" t="s">
        <v>25</v>
      </c>
      <c r="E161" s="6" t="s">
        <v>5</v>
      </c>
      <c r="F161" s="8">
        <v>42969</v>
      </c>
    </row>
    <row r="162" spans="1:6" ht="27.95" x14ac:dyDescent="0.3">
      <c r="A162" s="5" t="str">
        <f>"0422873"</f>
        <v>0422873</v>
      </c>
      <c r="B162" s="6" t="s">
        <v>903</v>
      </c>
      <c r="C162" s="26" t="str">
        <f>"627843434962"</f>
        <v>627843434962</v>
      </c>
      <c r="D162" s="5" t="s">
        <v>25</v>
      </c>
      <c r="E162" s="48" t="s">
        <v>904</v>
      </c>
      <c r="F162" s="8">
        <v>42969</v>
      </c>
    </row>
    <row r="163" spans="1:6" ht="41.95" x14ac:dyDescent="0.3">
      <c r="A163" s="5" t="str">
        <f>"0266486"</f>
        <v>0266486</v>
      </c>
      <c r="B163" s="6" t="s">
        <v>748</v>
      </c>
      <c r="C163" s="26" t="str">
        <f>"840712001304"</f>
        <v>840712001304</v>
      </c>
      <c r="D163" s="5" t="s">
        <v>202</v>
      </c>
      <c r="E163" s="9" t="s">
        <v>893</v>
      </c>
      <c r="F163" s="8">
        <v>42969</v>
      </c>
    </row>
    <row r="164" spans="1:6" ht="27.95" x14ac:dyDescent="0.3">
      <c r="A164" s="5" t="str">
        <f>"0520171"</f>
        <v>0520171</v>
      </c>
      <c r="B164" s="6" t="s">
        <v>898</v>
      </c>
      <c r="C164" s="26" t="str">
        <f>"056910850068"</f>
        <v>056910850068</v>
      </c>
      <c r="D164" s="5" t="s">
        <v>106</v>
      </c>
      <c r="E164" s="9" t="s">
        <v>899</v>
      </c>
      <c r="F164" s="8">
        <v>42969</v>
      </c>
    </row>
    <row r="165" spans="1:6" ht="14.1" customHeight="1" x14ac:dyDescent="0.3">
      <c r="A165" s="5" t="str">
        <f>"0526194"</f>
        <v>0526194</v>
      </c>
      <c r="B165" s="6" t="s">
        <v>918</v>
      </c>
      <c r="C165" s="26" t="str">
        <f>"627843759744"</f>
        <v>627843759744</v>
      </c>
      <c r="D165" s="5" t="s">
        <v>25</v>
      </c>
      <c r="E165" s="6" t="s">
        <v>5</v>
      </c>
      <c r="F165" s="8">
        <v>42966</v>
      </c>
    </row>
    <row r="166" spans="1:6" ht="14.1" customHeight="1" x14ac:dyDescent="0.3">
      <c r="A166" s="5" t="str">
        <f>"0350595"</f>
        <v>0350595</v>
      </c>
      <c r="B166" s="6" t="s">
        <v>915</v>
      </c>
      <c r="C166" s="26" t="str">
        <f>"6001506905732"</f>
        <v>6001506905732</v>
      </c>
      <c r="D166" s="5" t="s">
        <v>202</v>
      </c>
      <c r="E166" s="6" t="s">
        <v>635</v>
      </c>
      <c r="F166" s="8">
        <v>42963</v>
      </c>
    </row>
    <row r="167" spans="1:6" ht="27.95" x14ac:dyDescent="0.3">
      <c r="A167" s="5" t="s">
        <v>864</v>
      </c>
      <c r="B167" s="6" t="s">
        <v>865</v>
      </c>
      <c r="C167" s="26" t="s">
        <v>866</v>
      </c>
      <c r="D167" s="5" t="s">
        <v>202</v>
      </c>
      <c r="E167" s="9" t="s">
        <v>857</v>
      </c>
      <c r="F167" s="8">
        <v>42962</v>
      </c>
    </row>
    <row r="168" spans="1:6" ht="27.95" x14ac:dyDescent="0.3">
      <c r="A168" s="5" t="s">
        <v>867</v>
      </c>
      <c r="B168" s="6" t="s">
        <v>868</v>
      </c>
      <c r="C168" s="26" t="s">
        <v>869</v>
      </c>
      <c r="D168" s="5" t="s">
        <v>202</v>
      </c>
      <c r="E168" s="9" t="s">
        <v>857</v>
      </c>
      <c r="F168" s="8">
        <v>42962</v>
      </c>
    </row>
    <row r="169" spans="1:6" ht="15.05" customHeight="1" x14ac:dyDescent="0.3">
      <c r="A169" s="5" t="str">
        <f>"0354381"</f>
        <v>0354381</v>
      </c>
      <c r="B169" s="6" t="s">
        <v>871</v>
      </c>
      <c r="C169" s="26" t="str">
        <f>"087692901006"</f>
        <v>087692901006</v>
      </c>
      <c r="D169" s="5" t="s">
        <v>37</v>
      </c>
      <c r="E169" s="6" t="s">
        <v>5</v>
      </c>
      <c r="F169" s="8">
        <v>42962</v>
      </c>
    </row>
    <row r="170" spans="1:6" ht="27.95" x14ac:dyDescent="0.3">
      <c r="A170" s="5" t="s">
        <v>873</v>
      </c>
      <c r="B170" s="6" t="s">
        <v>874</v>
      </c>
      <c r="C170" s="26" t="s">
        <v>875</v>
      </c>
      <c r="D170" s="5" t="s">
        <v>48</v>
      </c>
      <c r="E170" s="9" t="s">
        <v>889</v>
      </c>
      <c r="F170" s="8">
        <v>42962</v>
      </c>
    </row>
    <row r="171" spans="1:6" ht="27.95" x14ac:dyDescent="0.3">
      <c r="A171" s="5" t="s">
        <v>879</v>
      </c>
      <c r="B171" s="6" t="s">
        <v>880</v>
      </c>
      <c r="C171" s="26" t="s">
        <v>881</v>
      </c>
      <c r="D171" s="5" t="s">
        <v>48</v>
      </c>
      <c r="E171" s="9" t="s">
        <v>890</v>
      </c>
      <c r="F171" s="8">
        <v>42962</v>
      </c>
    </row>
    <row r="172" spans="1:6" x14ac:dyDescent="0.3">
      <c r="A172" s="5" t="s">
        <v>876</v>
      </c>
      <c r="B172" s="6" t="s">
        <v>877</v>
      </c>
      <c r="C172" s="26" t="s">
        <v>878</v>
      </c>
      <c r="D172" s="5" t="s">
        <v>48</v>
      </c>
      <c r="E172" s="9" t="s">
        <v>5</v>
      </c>
      <c r="F172" s="8">
        <v>42962</v>
      </c>
    </row>
    <row r="173" spans="1:6" x14ac:dyDescent="0.3">
      <c r="A173" s="5" t="str">
        <f>"0467860"</f>
        <v>0467860</v>
      </c>
      <c r="B173" s="6" t="s">
        <v>882</v>
      </c>
      <c r="C173" s="26" t="str">
        <f>"040232355158"</f>
        <v>040232355158</v>
      </c>
      <c r="D173" s="5" t="s">
        <v>124</v>
      </c>
      <c r="E173" s="6" t="s">
        <v>5</v>
      </c>
      <c r="F173" s="8">
        <v>42962</v>
      </c>
    </row>
    <row r="174" spans="1:6" ht="41.95" x14ac:dyDescent="0.3">
      <c r="A174" s="5" t="str">
        <f>"0113183"</f>
        <v>0113183</v>
      </c>
      <c r="B174" s="6" t="s">
        <v>883</v>
      </c>
      <c r="C174" s="26" t="str">
        <f>"8410793286123"</f>
        <v>8410793286123</v>
      </c>
      <c r="D174" s="5" t="s">
        <v>48</v>
      </c>
      <c r="E174" s="9" t="s">
        <v>884</v>
      </c>
      <c r="F174" s="8">
        <v>42962</v>
      </c>
    </row>
    <row r="175" spans="1:6" x14ac:dyDescent="0.3">
      <c r="A175" s="52" t="str">
        <f>"0467035"</f>
        <v>0467035</v>
      </c>
      <c r="B175" s="6" t="s">
        <v>888</v>
      </c>
      <c r="C175" s="26" t="str">
        <f>"855315001606"</f>
        <v>855315001606</v>
      </c>
      <c r="D175" s="5" t="s">
        <v>202</v>
      </c>
      <c r="E175" s="6" t="s">
        <v>5</v>
      </c>
      <c r="F175" s="8">
        <v>42962</v>
      </c>
    </row>
    <row r="176" spans="1:6" ht="15.05" customHeight="1" x14ac:dyDescent="0.3">
      <c r="A176" s="5" t="str">
        <f>"0362855"</f>
        <v>0362855</v>
      </c>
      <c r="B176" s="6" t="s">
        <v>870</v>
      </c>
      <c r="C176" s="26" t="str">
        <f>"830803000040"</f>
        <v>830803000040</v>
      </c>
      <c r="D176" s="5" t="s">
        <v>25</v>
      </c>
      <c r="E176" s="6" t="s">
        <v>5</v>
      </c>
      <c r="F176" s="8">
        <v>42956</v>
      </c>
    </row>
    <row r="177" spans="1:6" x14ac:dyDescent="0.3">
      <c r="A177" s="5" t="str">
        <f>"0526145"</f>
        <v>0526145</v>
      </c>
      <c r="B177" s="6" t="s">
        <v>887</v>
      </c>
      <c r="C177" s="26" t="str">
        <f>"627843759737"</f>
        <v>627843759737</v>
      </c>
      <c r="D177" s="5" t="s">
        <v>25</v>
      </c>
      <c r="E177" s="6" t="s">
        <v>900</v>
      </c>
      <c r="F177" s="8">
        <v>42952</v>
      </c>
    </row>
    <row r="178" spans="1:6" ht="15.05" customHeight="1" x14ac:dyDescent="0.3">
      <c r="A178" s="5" t="str">
        <f>"0377465"</f>
        <v>0377465</v>
      </c>
      <c r="B178" s="6" t="s">
        <v>894</v>
      </c>
      <c r="C178" s="26" t="str">
        <f>"8410113001139"</f>
        <v>8410113001139</v>
      </c>
      <c r="D178" s="5" t="s">
        <v>202</v>
      </c>
      <c r="E178" s="6" t="s">
        <v>5</v>
      </c>
      <c r="F178" s="8">
        <v>42951</v>
      </c>
    </row>
    <row r="179" spans="1:6" ht="15.05" customHeight="1" x14ac:dyDescent="0.3">
      <c r="A179" s="5" t="str">
        <f>"0449553"</f>
        <v>0449553</v>
      </c>
      <c r="B179" s="6" t="s">
        <v>861</v>
      </c>
      <c r="C179" s="26" t="str">
        <f>"774837526742"</f>
        <v>774837526742</v>
      </c>
      <c r="D179" s="5" t="s">
        <v>25</v>
      </c>
      <c r="E179" s="6" t="s">
        <v>5</v>
      </c>
      <c r="F179" s="8">
        <v>42948</v>
      </c>
    </row>
    <row r="180" spans="1:6" ht="15.05" customHeight="1" x14ac:dyDescent="0.3">
      <c r="A180" s="5" t="str">
        <f>"0526145"</f>
        <v>0526145</v>
      </c>
      <c r="B180" s="6" t="s">
        <v>887</v>
      </c>
      <c r="C180" s="26" t="str">
        <f>"627843759737"</f>
        <v>627843759737</v>
      </c>
      <c r="D180" s="5" t="s">
        <v>25</v>
      </c>
      <c r="E180" s="6" t="s">
        <v>115</v>
      </c>
      <c r="F180" s="8">
        <v>42948</v>
      </c>
    </row>
    <row r="181" spans="1:6" ht="15.05" customHeight="1" x14ac:dyDescent="0.3">
      <c r="A181" s="5" t="str">
        <f>"0199216"</f>
        <v>0199216</v>
      </c>
      <c r="B181" s="6" t="s">
        <v>862</v>
      </c>
      <c r="C181" s="26" t="str">
        <f>"086003004108"</f>
        <v>086003004108</v>
      </c>
      <c r="D181" s="5" t="s">
        <v>202</v>
      </c>
      <c r="E181" s="6" t="s">
        <v>863</v>
      </c>
      <c r="F181" s="8">
        <v>42948</v>
      </c>
    </row>
    <row r="182" spans="1:6" ht="27.95" x14ac:dyDescent="0.3">
      <c r="A182" s="5" t="str">
        <f>"0048611"</f>
        <v>0048611</v>
      </c>
      <c r="B182" s="6" t="s">
        <v>885</v>
      </c>
      <c r="C182" s="26" t="str">
        <f>"086003811850"</f>
        <v>086003811850</v>
      </c>
      <c r="D182" s="5" t="s">
        <v>202</v>
      </c>
      <c r="E182" s="9" t="s">
        <v>886</v>
      </c>
      <c r="F182" s="8">
        <v>42945</v>
      </c>
    </row>
    <row r="183" spans="1:6" ht="15.05" customHeight="1" x14ac:dyDescent="0.3">
      <c r="A183" s="5" t="str">
        <f>"0491118"</f>
        <v>0491118</v>
      </c>
      <c r="B183" s="6" t="s">
        <v>872</v>
      </c>
      <c r="C183" s="26" t="str">
        <f>"8436539761235"</f>
        <v>8436539761235</v>
      </c>
      <c r="D183" s="5" t="s">
        <v>455</v>
      </c>
      <c r="E183" s="6" t="s">
        <v>635</v>
      </c>
      <c r="F183" s="8">
        <v>42944</v>
      </c>
    </row>
    <row r="184" spans="1:6" x14ac:dyDescent="0.3">
      <c r="A184" s="5" t="str">
        <f>"0514943"</f>
        <v>0514943</v>
      </c>
      <c r="B184" s="6" t="s">
        <v>858</v>
      </c>
      <c r="C184" s="26" t="str">
        <f>"602573184097"</f>
        <v>602573184097</v>
      </c>
      <c r="D184" s="5" t="s">
        <v>202</v>
      </c>
      <c r="E184" s="6" t="s">
        <v>859</v>
      </c>
      <c r="F184" s="8" t="s">
        <v>860</v>
      </c>
    </row>
    <row r="185" spans="1:6" x14ac:dyDescent="0.3">
      <c r="A185" s="5" t="str">
        <f>"0458323"</f>
        <v>0458323</v>
      </c>
      <c r="B185" s="6" t="s">
        <v>835</v>
      </c>
      <c r="C185" s="26" t="str">
        <f>"091037995155"</f>
        <v>091037995155</v>
      </c>
      <c r="D185" s="5" t="s">
        <v>76</v>
      </c>
      <c r="E185" s="6" t="s">
        <v>5</v>
      </c>
      <c r="F185" s="8">
        <v>42941</v>
      </c>
    </row>
    <row r="186" spans="1:6" x14ac:dyDescent="0.3">
      <c r="A186" s="5" t="str">
        <f>"0458331"</f>
        <v>0458331</v>
      </c>
      <c r="B186" s="6" t="s">
        <v>836</v>
      </c>
      <c r="C186" s="26" t="str">
        <f>"013964841732"</f>
        <v>013964841732</v>
      </c>
      <c r="D186" s="5" t="s">
        <v>76</v>
      </c>
      <c r="E186" s="6" t="s">
        <v>5</v>
      </c>
      <c r="F186" s="8">
        <v>42941</v>
      </c>
    </row>
    <row r="187" spans="1:6" x14ac:dyDescent="0.3">
      <c r="A187" s="5" t="s">
        <v>841</v>
      </c>
      <c r="B187" s="6" t="s">
        <v>842</v>
      </c>
      <c r="C187" s="26" t="s">
        <v>843</v>
      </c>
      <c r="D187" s="5" t="s">
        <v>202</v>
      </c>
      <c r="E187" s="6" t="s">
        <v>5</v>
      </c>
      <c r="F187" s="8">
        <v>42941</v>
      </c>
    </row>
    <row r="188" spans="1:6" x14ac:dyDescent="0.3">
      <c r="A188" s="5" t="s">
        <v>844</v>
      </c>
      <c r="B188" s="6" t="s">
        <v>845</v>
      </c>
      <c r="C188" s="26" t="s">
        <v>846</v>
      </c>
      <c r="D188" s="5" t="s">
        <v>202</v>
      </c>
      <c r="E188" s="6" t="s">
        <v>5</v>
      </c>
      <c r="F188" s="8">
        <v>42941</v>
      </c>
    </row>
    <row r="189" spans="1:6" x14ac:dyDescent="0.3">
      <c r="A189" s="5" t="s">
        <v>847</v>
      </c>
      <c r="B189" s="6" t="s">
        <v>848</v>
      </c>
      <c r="C189" s="26" t="s">
        <v>849</v>
      </c>
      <c r="D189" s="5" t="s">
        <v>202</v>
      </c>
      <c r="E189" s="6" t="s">
        <v>5</v>
      </c>
      <c r="F189" s="8">
        <v>42941</v>
      </c>
    </row>
    <row r="190" spans="1:6" x14ac:dyDescent="0.3">
      <c r="A190" s="5" t="s">
        <v>850</v>
      </c>
      <c r="B190" s="6" t="s">
        <v>851</v>
      </c>
      <c r="C190" s="26" t="s">
        <v>852</v>
      </c>
      <c r="D190" s="5" t="s">
        <v>202</v>
      </c>
      <c r="E190" s="6" t="s">
        <v>5</v>
      </c>
      <c r="F190" s="8">
        <v>42941</v>
      </c>
    </row>
    <row r="191" spans="1:6" x14ac:dyDescent="0.3">
      <c r="A191" s="5" t="s">
        <v>853</v>
      </c>
      <c r="B191" s="6" t="s">
        <v>854</v>
      </c>
      <c r="C191" s="26" t="s">
        <v>855</v>
      </c>
      <c r="D191" s="5" t="s">
        <v>202</v>
      </c>
      <c r="E191" s="6" t="s">
        <v>5</v>
      </c>
      <c r="F191" s="8">
        <v>42941</v>
      </c>
    </row>
    <row r="192" spans="1:6" ht="41.95" x14ac:dyDescent="0.3">
      <c r="A192" s="5" t="s">
        <v>107</v>
      </c>
      <c r="B192" s="6" t="s">
        <v>837</v>
      </c>
      <c r="C192" s="26" t="s">
        <v>109</v>
      </c>
      <c r="D192" s="5" t="s">
        <v>25</v>
      </c>
      <c r="E192" s="9" t="s">
        <v>838</v>
      </c>
      <c r="F192" s="8">
        <v>42941</v>
      </c>
    </row>
    <row r="193" spans="1:6" ht="41.95" x14ac:dyDescent="0.3">
      <c r="A193" s="5" t="s">
        <v>110</v>
      </c>
      <c r="B193" s="6" t="s">
        <v>111</v>
      </c>
      <c r="C193" s="26" t="s">
        <v>112</v>
      </c>
      <c r="D193" s="5" t="s">
        <v>25</v>
      </c>
      <c r="E193" s="9" t="s">
        <v>838</v>
      </c>
      <c r="F193" s="8">
        <v>42941</v>
      </c>
    </row>
    <row r="194" spans="1:6" ht="41.95" x14ac:dyDescent="0.3">
      <c r="A194" s="5" t="str">
        <f>"0160994"</f>
        <v>0160994</v>
      </c>
      <c r="B194" s="6" t="s">
        <v>839</v>
      </c>
      <c r="C194" s="26" t="str">
        <f>"7798039595323"</f>
        <v>7798039595323</v>
      </c>
      <c r="D194" s="5" t="s">
        <v>202</v>
      </c>
      <c r="E194" s="9" t="s">
        <v>840</v>
      </c>
      <c r="F194" s="8">
        <v>42941</v>
      </c>
    </row>
    <row r="195" spans="1:6" s="39" customFormat="1" ht="27.95" x14ac:dyDescent="0.3">
      <c r="A195" s="36" t="str">
        <f>"0426411"</f>
        <v>0426411</v>
      </c>
      <c r="B195" s="9" t="s">
        <v>856</v>
      </c>
      <c r="C195" s="37" t="str">
        <f>"693550000967"</f>
        <v>693550000967</v>
      </c>
      <c r="D195" s="36" t="s">
        <v>202</v>
      </c>
      <c r="E195" s="9" t="s">
        <v>857</v>
      </c>
      <c r="F195" s="8">
        <v>42941</v>
      </c>
    </row>
    <row r="196" spans="1:6" x14ac:dyDescent="0.3">
      <c r="A196" s="5" t="str">
        <f>"0453480"</f>
        <v>0453480</v>
      </c>
      <c r="B196" s="6" t="s">
        <v>769</v>
      </c>
      <c r="C196" s="26" t="str">
        <f>"091037995285"</f>
        <v>091037995285</v>
      </c>
      <c r="D196" s="5" t="s">
        <v>76</v>
      </c>
      <c r="E196" s="6" t="s">
        <v>5</v>
      </c>
      <c r="F196" s="8">
        <v>42934</v>
      </c>
    </row>
    <row r="197" spans="1:6" x14ac:dyDescent="0.3">
      <c r="A197" s="5" t="str">
        <f>"0396598"</f>
        <v>0396598</v>
      </c>
      <c r="B197" s="6" t="s">
        <v>806</v>
      </c>
      <c r="C197" s="26" t="str">
        <f>"779373541037"</f>
        <v>779373541037</v>
      </c>
      <c r="D197" s="74" t="s">
        <v>202</v>
      </c>
      <c r="E197" s="6" t="s">
        <v>5</v>
      </c>
      <c r="F197" s="8">
        <v>42934</v>
      </c>
    </row>
    <row r="198" spans="1:6" x14ac:dyDescent="0.3">
      <c r="A198" s="5" t="str">
        <f>"0448795"</f>
        <v>0448795</v>
      </c>
      <c r="B198" s="6" t="s">
        <v>816</v>
      </c>
      <c r="C198" s="26" t="str">
        <f>"812339000510"</f>
        <v>812339000510</v>
      </c>
      <c r="D198" s="5" t="s">
        <v>124</v>
      </c>
      <c r="E198" s="6" t="s">
        <v>5</v>
      </c>
      <c r="F198" s="8">
        <v>42934</v>
      </c>
    </row>
    <row r="199" spans="1:6" x14ac:dyDescent="0.3">
      <c r="A199" s="5" t="str">
        <f>"0448126"</f>
        <v>0448126</v>
      </c>
      <c r="B199" s="6" t="s">
        <v>817</v>
      </c>
      <c r="C199" s="26" t="str">
        <f>"812339000183"</f>
        <v>812339000183</v>
      </c>
      <c r="D199" s="5" t="s">
        <v>124</v>
      </c>
      <c r="E199" s="6" t="s">
        <v>86</v>
      </c>
      <c r="F199" s="8">
        <v>42934</v>
      </c>
    </row>
    <row r="200" spans="1:6" x14ac:dyDescent="0.3">
      <c r="A200" s="5" t="str">
        <f>"0420430"</f>
        <v>0420430</v>
      </c>
      <c r="B200" s="6" t="s">
        <v>818</v>
      </c>
      <c r="C200" s="26" t="str">
        <f>"5011348017037"</f>
        <v>5011348017037</v>
      </c>
      <c r="D200" s="5" t="s">
        <v>48</v>
      </c>
      <c r="E200" s="6" t="s">
        <v>5</v>
      </c>
      <c r="F200" s="8">
        <v>42934</v>
      </c>
    </row>
    <row r="201" spans="1:6" x14ac:dyDescent="0.3">
      <c r="A201" s="5" t="str">
        <f>"0205393"</f>
        <v>0205393</v>
      </c>
      <c r="B201" s="6" t="s">
        <v>820</v>
      </c>
      <c r="C201" s="26" t="str">
        <f>"400000123455"</f>
        <v>400000123455</v>
      </c>
      <c r="D201" s="5" t="s">
        <v>48</v>
      </c>
      <c r="E201" s="6" t="s">
        <v>5</v>
      </c>
      <c r="F201" s="8">
        <v>42934</v>
      </c>
    </row>
    <row r="202" spans="1:6" x14ac:dyDescent="0.3">
      <c r="A202" s="5" t="str">
        <f>"0337352"</f>
        <v>0337352</v>
      </c>
      <c r="B202" s="6" t="s">
        <v>767</v>
      </c>
      <c r="C202" s="26" t="str">
        <f>"400003987740"</f>
        <v>400003987740</v>
      </c>
      <c r="D202" s="5" t="s">
        <v>48</v>
      </c>
      <c r="E202" s="6" t="s">
        <v>5</v>
      </c>
      <c r="F202" s="8">
        <v>42934</v>
      </c>
    </row>
    <row r="203" spans="1:6" x14ac:dyDescent="0.3">
      <c r="A203" s="5" t="str">
        <f>"0432856"</f>
        <v>0432856</v>
      </c>
      <c r="B203" s="6" t="s">
        <v>821</v>
      </c>
      <c r="C203" s="26" t="str">
        <f>"40678726"</f>
        <v>40678726</v>
      </c>
      <c r="D203" s="5" t="s">
        <v>48</v>
      </c>
      <c r="E203" s="6" t="s">
        <v>822</v>
      </c>
      <c r="F203" s="8">
        <v>42934</v>
      </c>
    </row>
    <row r="204" spans="1:6" ht="27.95" x14ac:dyDescent="0.3">
      <c r="A204" s="5" t="s">
        <v>823</v>
      </c>
      <c r="B204" s="6" t="s">
        <v>824</v>
      </c>
      <c r="C204" s="26" t="s">
        <v>825</v>
      </c>
      <c r="D204" s="5" t="s">
        <v>202</v>
      </c>
      <c r="E204" s="9" t="s">
        <v>833</v>
      </c>
      <c r="F204" s="8">
        <v>42934</v>
      </c>
    </row>
    <row r="205" spans="1:6" ht="27.95" x14ac:dyDescent="0.3">
      <c r="A205" s="5" t="s">
        <v>826</v>
      </c>
      <c r="B205" s="6" t="s">
        <v>827</v>
      </c>
      <c r="C205" s="26" t="s">
        <v>828</v>
      </c>
      <c r="D205" s="5" t="s">
        <v>202</v>
      </c>
      <c r="E205" s="9" t="s">
        <v>832</v>
      </c>
      <c r="F205" s="8">
        <v>42934</v>
      </c>
    </row>
    <row r="206" spans="1:6" x14ac:dyDescent="0.3">
      <c r="A206" s="5" t="s">
        <v>829</v>
      </c>
      <c r="B206" s="6" t="s">
        <v>830</v>
      </c>
      <c r="C206" s="26" t="s">
        <v>831</v>
      </c>
      <c r="D206" s="5" t="s">
        <v>202</v>
      </c>
      <c r="E206" s="9" t="s">
        <v>5</v>
      </c>
      <c r="F206" s="8">
        <v>42934</v>
      </c>
    </row>
    <row r="207" spans="1:6" ht="27.95" x14ac:dyDescent="0.3">
      <c r="A207" s="5" t="s">
        <v>107</v>
      </c>
      <c r="B207" s="6" t="s">
        <v>108</v>
      </c>
      <c r="C207" s="26" t="s">
        <v>109</v>
      </c>
      <c r="D207" s="5" t="s">
        <v>25</v>
      </c>
      <c r="E207" s="9" t="s">
        <v>813</v>
      </c>
      <c r="F207" s="8">
        <v>42934</v>
      </c>
    </row>
    <row r="208" spans="1:6" ht="27.95" x14ac:dyDescent="0.3">
      <c r="A208" s="5" t="s">
        <v>110</v>
      </c>
      <c r="B208" s="6" t="s">
        <v>111</v>
      </c>
      <c r="C208" s="26" t="s">
        <v>112</v>
      </c>
      <c r="D208" s="5" t="s">
        <v>25</v>
      </c>
      <c r="E208" s="9" t="s">
        <v>814</v>
      </c>
      <c r="F208" s="8">
        <v>42934</v>
      </c>
    </row>
    <row r="209" spans="1:6" ht="27.95" x14ac:dyDescent="0.3">
      <c r="A209" s="5" t="s">
        <v>807</v>
      </c>
      <c r="B209" s="6" t="s">
        <v>808</v>
      </c>
      <c r="C209" s="26" t="s">
        <v>809</v>
      </c>
      <c r="D209" s="5" t="s">
        <v>25</v>
      </c>
      <c r="E209" s="9" t="s">
        <v>815</v>
      </c>
      <c r="F209" s="8">
        <v>42934</v>
      </c>
    </row>
    <row r="210" spans="1:6" ht="41.95" x14ac:dyDescent="0.3">
      <c r="A210" s="5" t="s">
        <v>810</v>
      </c>
      <c r="B210" s="6" t="s">
        <v>811</v>
      </c>
      <c r="C210" s="26" t="s">
        <v>812</v>
      </c>
      <c r="D210" s="5" t="s">
        <v>25</v>
      </c>
      <c r="E210" s="9" t="s">
        <v>819</v>
      </c>
      <c r="F210" s="8">
        <v>42934</v>
      </c>
    </row>
    <row r="211" spans="1:6" ht="27.95" x14ac:dyDescent="0.3">
      <c r="A211" s="5" t="s">
        <v>770</v>
      </c>
      <c r="B211" s="6" t="s">
        <v>558</v>
      </c>
      <c r="C211" s="26" t="s">
        <v>559</v>
      </c>
      <c r="D211" s="5" t="s">
        <v>202</v>
      </c>
      <c r="E211" s="9" t="s">
        <v>804</v>
      </c>
      <c r="F211" s="8">
        <v>42934</v>
      </c>
    </row>
    <row r="212" spans="1:6" ht="27.95" x14ac:dyDescent="0.3">
      <c r="A212" s="5" t="s">
        <v>771</v>
      </c>
      <c r="B212" s="6" t="s">
        <v>560</v>
      </c>
      <c r="C212" s="26" t="s">
        <v>561</v>
      </c>
      <c r="D212" s="5" t="s">
        <v>202</v>
      </c>
      <c r="E212" s="9" t="s">
        <v>804</v>
      </c>
      <c r="F212" s="8">
        <v>42934</v>
      </c>
    </row>
    <row r="213" spans="1:6" ht="27.95" x14ac:dyDescent="0.3">
      <c r="A213" s="5" t="s">
        <v>772</v>
      </c>
      <c r="B213" s="6" t="s">
        <v>562</v>
      </c>
      <c r="C213" s="26" t="s">
        <v>563</v>
      </c>
      <c r="D213" s="5" t="s">
        <v>202</v>
      </c>
      <c r="E213" s="9" t="s">
        <v>804</v>
      </c>
      <c r="F213" s="8">
        <v>42934</v>
      </c>
    </row>
    <row r="214" spans="1:6" ht="27.95" x14ac:dyDescent="0.3">
      <c r="A214" s="5" t="s">
        <v>773</v>
      </c>
      <c r="B214" s="6" t="s">
        <v>564</v>
      </c>
      <c r="C214" s="26" t="s">
        <v>565</v>
      </c>
      <c r="D214" s="5" t="s">
        <v>202</v>
      </c>
      <c r="E214" s="9" t="s">
        <v>804</v>
      </c>
      <c r="F214" s="8">
        <v>42934</v>
      </c>
    </row>
    <row r="215" spans="1:6" ht="27.95" x14ac:dyDescent="0.3">
      <c r="A215" s="5" t="s">
        <v>774</v>
      </c>
      <c r="B215" s="6" t="s">
        <v>566</v>
      </c>
      <c r="C215" s="26" t="s">
        <v>567</v>
      </c>
      <c r="D215" s="5" t="s">
        <v>202</v>
      </c>
      <c r="E215" s="9" t="s">
        <v>804</v>
      </c>
      <c r="F215" s="8">
        <v>42934</v>
      </c>
    </row>
    <row r="216" spans="1:6" ht="27.95" x14ac:dyDescent="0.3">
      <c r="A216" s="5" t="s">
        <v>775</v>
      </c>
      <c r="B216" s="6" t="s">
        <v>568</v>
      </c>
      <c r="C216" s="26" t="s">
        <v>569</v>
      </c>
      <c r="D216" s="5" t="s">
        <v>202</v>
      </c>
      <c r="E216" s="9" t="s">
        <v>804</v>
      </c>
      <c r="F216" s="8">
        <v>42934</v>
      </c>
    </row>
    <row r="217" spans="1:6" ht="27.95" x14ac:dyDescent="0.3">
      <c r="A217" s="5" t="s">
        <v>776</v>
      </c>
      <c r="B217" s="6" t="s">
        <v>570</v>
      </c>
      <c r="C217" s="26" t="s">
        <v>571</v>
      </c>
      <c r="D217" s="5" t="s">
        <v>202</v>
      </c>
      <c r="E217" s="9" t="s">
        <v>804</v>
      </c>
      <c r="F217" s="8">
        <v>42934</v>
      </c>
    </row>
    <row r="218" spans="1:6" ht="27.95" x14ac:dyDescent="0.3">
      <c r="A218" s="5" t="s">
        <v>777</v>
      </c>
      <c r="B218" s="6" t="s">
        <v>572</v>
      </c>
      <c r="C218" s="26" t="s">
        <v>573</v>
      </c>
      <c r="D218" s="5" t="s">
        <v>202</v>
      </c>
      <c r="E218" s="9" t="s">
        <v>804</v>
      </c>
      <c r="F218" s="8">
        <v>42934</v>
      </c>
    </row>
    <row r="219" spans="1:6" ht="27.95" x14ac:dyDescent="0.3">
      <c r="A219" s="5" t="s">
        <v>778</v>
      </c>
      <c r="B219" s="6" t="s">
        <v>574</v>
      </c>
      <c r="C219" s="26" t="s">
        <v>575</v>
      </c>
      <c r="D219" s="5" t="s">
        <v>202</v>
      </c>
      <c r="E219" s="9" t="s">
        <v>804</v>
      </c>
      <c r="F219" s="8">
        <v>42934</v>
      </c>
    </row>
    <row r="220" spans="1:6" ht="27.95" x14ac:dyDescent="0.3">
      <c r="A220" s="5" t="s">
        <v>779</v>
      </c>
      <c r="B220" s="6" t="s">
        <v>576</v>
      </c>
      <c r="C220" s="26" t="s">
        <v>577</v>
      </c>
      <c r="D220" s="5" t="s">
        <v>202</v>
      </c>
      <c r="E220" s="9" t="s">
        <v>804</v>
      </c>
      <c r="F220" s="8">
        <v>42934</v>
      </c>
    </row>
    <row r="221" spans="1:6" ht="27.95" x14ac:dyDescent="0.3">
      <c r="A221" s="5" t="s">
        <v>780</v>
      </c>
      <c r="B221" s="6" t="s">
        <v>578</v>
      </c>
      <c r="C221" s="26" t="s">
        <v>579</v>
      </c>
      <c r="D221" s="5" t="s">
        <v>202</v>
      </c>
      <c r="E221" s="9" t="s">
        <v>805</v>
      </c>
      <c r="F221" s="8">
        <v>42934</v>
      </c>
    </row>
    <row r="222" spans="1:6" ht="27.95" x14ac:dyDescent="0.3">
      <c r="A222" s="5" t="s">
        <v>781</v>
      </c>
      <c r="B222" s="6" t="s">
        <v>580</v>
      </c>
      <c r="C222" s="26" t="s">
        <v>581</v>
      </c>
      <c r="D222" s="5" t="s">
        <v>202</v>
      </c>
      <c r="E222" s="9" t="s">
        <v>805</v>
      </c>
      <c r="F222" s="8">
        <v>42934</v>
      </c>
    </row>
    <row r="223" spans="1:6" ht="27.95" x14ac:dyDescent="0.3">
      <c r="A223" s="5" t="s">
        <v>782</v>
      </c>
      <c r="B223" s="6" t="s">
        <v>582</v>
      </c>
      <c r="C223" s="26" t="s">
        <v>583</v>
      </c>
      <c r="D223" s="5" t="s">
        <v>202</v>
      </c>
      <c r="E223" s="9" t="s">
        <v>805</v>
      </c>
      <c r="F223" s="8">
        <v>42934</v>
      </c>
    </row>
    <row r="224" spans="1:6" ht="27.95" x14ac:dyDescent="0.3">
      <c r="A224" s="5" t="s">
        <v>783</v>
      </c>
      <c r="B224" s="6" t="s">
        <v>584</v>
      </c>
      <c r="C224" s="26" t="s">
        <v>585</v>
      </c>
      <c r="D224" s="5" t="s">
        <v>202</v>
      </c>
      <c r="E224" s="9" t="s">
        <v>805</v>
      </c>
      <c r="F224" s="8">
        <v>42934</v>
      </c>
    </row>
    <row r="225" spans="1:6" ht="27.95" x14ac:dyDescent="0.3">
      <c r="A225" s="5" t="s">
        <v>784</v>
      </c>
      <c r="B225" s="6" t="s">
        <v>586</v>
      </c>
      <c r="C225" s="26" t="s">
        <v>587</v>
      </c>
      <c r="D225" s="5" t="s">
        <v>202</v>
      </c>
      <c r="E225" s="9" t="s">
        <v>805</v>
      </c>
      <c r="F225" s="8">
        <v>42934</v>
      </c>
    </row>
    <row r="226" spans="1:6" ht="27.95" x14ac:dyDescent="0.3">
      <c r="A226" s="5" t="s">
        <v>785</v>
      </c>
      <c r="B226" s="6" t="s">
        <v>588</v>
      </c>
      <c r="C226" s="26" t="s">
        <v>589</v>
      </c>
      <c r="D226" s="5" t="s">
        <v>202</v>
      </c>
      <c r="E226" s="9" t="s">
        <v>805</v>
      </c>
      <c r="F226" s="8">
        <v>42934</v>
      </c>
    </row>
    <row r="227" spans="1:6" ht="27.95" x14ac:dyDescent="0.3">
      <c r="A227" s="5" t="s">
        <v>786</v>
      </c>
      <c r="B227" s="6" t="s">
        <v>787</v>
      </c>
      <c r="C227" s="26" t="s">
        <v>788</v>
      </c>
      <c r="D227" s="5" t="s">
        <v>202</v>
      </c>
      <c r="E227" s="9" t="s">
        <v>805</v>
      </c>
      <c r="F227" s="8">
        <v>42934</v>
      </c>
    </row>
    <row r="228" spans="1:6" ht="27.95" x14ac:dyDescent="0.3">
      <c r="A228" s="5" t="s">
        <v>789</v>
      </c>
      <c r="B228" s="6" t="s">
        <v>590</v>
      </c>
      <c r="C228" s="26" t="s">
        <v>591</v>
      </c>
      <c r="D228" s="5" t="s">
        <v>202</v>
      </c>
      <c r="E228" s="9" t="s">
        <v>805</v>
      </c>
      <c r="F228" s="8">
        <v>42934</v>
      </c>
    </row>
    <row r="229" spans="1:6" ht="27.95" x14ac:dyDescent="0.3">
      <c r="A229" s="5" t="s">
        <v>790</v>
      </c>
      <c r="B229" s="6" t="s">
        <v>592</v>
      </c>
      <c r="C229" s="26" t="s">
        <v>593</v>
      </c>
      <c r="D229" s="5" t="s">
        <v>202</v>
      </c>
      <c r="E229" s="9" t="s">
        <v>805</v>
      </c>
      <c r="F229" s="8">
        <v>42934</v>
      </c>
    </row>
    <row r="230" spans="1:6" ht="27.95" x14ac:dyDescent="0.3">
      <c r="A230" s="5" t="s">
        <v>791</v>
      </c>
      <c r="B230" s="6" t="s">
        <v>598</v>
      </c>
      <c r="C230" s="26" t="s">
        <v>599</v>
      </c>
      <c r="D230" s="5" t="s">
        <v>202</v>
      </c>
      <c r="E230" s="9" t="s">
        <v>805</v>
      </c>
      <c r="F230" s="8">
        <v>42934</v>
      </c>
    </row>
    <row r="231" spans="1:6" ht="27.95" x14ac:dyDescent="0.3">
      <c r="A231" s="5" t="s">
        <v>792</v>
      </c>
      <c r="B231" s="6" t="s">
        <v>600</v>
      </c>
      <c r="C231" s="26" t="s">
        <v>601</v>
      </c>
      <c r="D231" s="5" t="s">
        <v>202</v>
      </c>
      <c r="E231" s="9" t="s">
        <v>805</v>
      </c>
      <c r="F231" s="8">
        <v>42934</v>
      </c>
    </row>
    <row r="232" spans="1:6" ht="27.95" x14ac:dyDescent="0.3">
      <c r="A232" s="5" t="s">
        <v>793</v>
      </c>
      <c r="B232" s="6" t="s">
        <v>602</v>
      </c>
      <c r="C232" s="26" t="s">
        <v>603</v>
      </c>
      <c r="D232" s="5" t="s">
        <v>202</v>
      </c>
      <c r="E232" s="9" t="s">
        <v>805</v>
      </c>
      <c r="F232" s="8">
        <v>42934</v>
      </c>
    </row>
    <row r="233" spans="1:6" ht="27.95" x14ac:dyDescent="0.3">
      <c r="A233" s="5" t="s">
        <v>794</v>
      </c>
      <c r="B233" s="6" t="s">
        <v>604</v>
      </c>
      <c r="C233" s="26" t="s">
        <v>605</v>
      </c>
      <c r="D233" s="5" t="s">
        <v>202</v>
      </c>
      <c r="E233" s="9" t="s">
        <v>805</v>
      </c>
      <c r="F233" s="8">
        <v>42934</v>
      </c>
    </row>
    <row r="234" spans="1:6" ht="27.95" x14ac:dyDescent="0.3">
      <c r="A234" s="5" t="s">
        <v>795</v>
      </c>
      <c r="B234" s="6" t="s">
        <v>606</v>
      </c>
      <c r="C234" s="26" t="s">
        <v>607</v>
      </c>
      <c r="D234" s="5" t="s">
        <v>137</v>
      </c>
      <c r="E234" s="9" t="s">
        <v>805</v>
      </c>
      <c r="F234" s="8">
        <v>42934</v>
      </c>
    </row>
    <row r="235" spans="1:6" ht="27.95" x14ac:dyDescent="0.3">
      <c r="A235" s="5" t="s">
        <v>796</v>
      </c>
      <c r="B235" s="6" t="s">
        <v>608</v>
      </c>
      <c r="C235" s="26" t="s">
        <v>609</v>
      </c>
      <c r="D235" s="5" t="s">
        <v>137</v>
      </c>
      <c r="E235" s="9" t="s">
        <v>805</v>
      </c>
      <c r="F235" s="8">
        <v>42934</v>
      </c>
    </row>
    <row r="236" spans="1:6" ht="27.95" x14ac:dyDescent="0.3">
      <c r="A236" s="5" t="s">
        <v>797</v>
      </c>
      <c r="B236" s="6" t="s">
        <v>612</v>
      </c>
      <c r="C236" s="26" t="s">
        <v>613</v>
      </c>
      <c r="D236" s="5" t="s">
        <v>202</v>
      </c>
      <c r="E236" s="9" t="s">
        <v>805</v>
      </c>
      <c r="F236" s="8">
        <v>42934</v>
      </c>
    </row>
    <row r="237" spans="1:6" ht="27.95" x14ac:dyDescent="0.3">
      <c r="A237" s="5" t="s">
        <v>798</v>
      </c>
      <c r="B237" s="6" t="s">
        <v>614</v>
      </c>
      <c r="C237" s="26" t="s">
        <v>615</v>
      </c>
      <c r="D237" s="5" t="s">
        <v>455</v>
      </c>
      <c r="E237" s="9" t="s">
        <v>805</v>
      </c>
      <c r="F237" s="8">
        <v>42934</v>
      </c>
    </row>
    <row r="238" spans="1:6" ht="27.95" x14ac:dyDescent="0.3">
      <c r="A238" s="5" t="s">
        <v>799</v>
      </c>
      <c r="B238" s="6" t="s">
        <v>616</v>
      </c>
      <c r="C238" s="26" t="s">
        <v>617</v>
      </c>
      <c r="D238" s="5" t="s">
        <v>455</v>
      </c>
      <c r="E238" s="9" t="s">
        <v>805</v>
      </c>
      <c r="F238" s="8">
        <v>42934</v>
      </c>
    </row>
    <row r="239" spans="1:6" ht="27.95" x14ac:dyDescent="0.3">
      <c r="A239" s="5" t="s">
        <v>800</v>
      </c>
      <c r="B239" s="6" t="s">
        <v>618</v>
      </c>
      <c r="C239" s="26" t="s">
        <v>619</v>
      </c>
      <c r="D239" s="5" t="s">
        <v>202</v>
      </c>
      <c r="E239" s="9" t="s">
        <v>805</v>
      </c>
      <c r="F239" s="8">
        <v>42934</v>
      </c>
    </row>
    <row r="240" spans="1:6" ht="27.95" x14ac:dyDescent="0.3">
      <c r="A240" s="5" t="s">
        <v>801</v>
      </c>
      <c r="B240" s="6" t="s">
        <v>620</v>
      </c>
      <c r="C240" s="26" t="s">
        <v>621</v>
      </c>
      <c r="D240" s="5" t="s">
        <v>202</v>
      </c>
      <c r="E240" s="9" t="s">
        <v>805</v>
      </c>
      <c r="F240" s="8">
        <v>42934</v>
      </c>
    </row>
    <row r="241" spans="1:6" ht="27.95" x14ac:dyDescent="0.3">
      <c r="A241" s="5" t="s">
        <v>802</v>
      </c>
      <c r="B241" s="6" t="s">
        <v>622</v>
      </c>
      <c r="C241" s="26" t="s">
        <v>623</v>
      </c>
      <c r="D241" s="5" t="s">
        <v>202</v>
      </c>
      <c r="E241" s="9" t="s">
        <v>805</v>
      </c>
      <c r="F241" s="8">
        <v>42934</v>
      </c>
    </row>
    <row r="242" spans="1:6" ht="27.95" x14ac:dyDescent="0.3">
      <c r="A242" s="5" t="s">
        <v>803</v>
      </c>
      <c r="B242" s="6" t="s">
        <v>626</v>
      </c>
      <c r="C242" s="26" t="s">
        <v>627</v>
      </c>
      <c r="D242" s="5" t="s">
        <v>202</v>
      </c>
      <c r="E242" s="9" t="s">
        <v>805</v>
      </c>
      <c r="F242" s="8">
        <v>42934</v>
      </c>
    </row>
    <row r="243" spans="1:6" x14ac:dyDescent="0.3">
      <c r="A243" s="5" t="str">
        <f>"0676429"</f>
        <v>0676429</v>
      </c>
      <c r="B243" s="6" t="s">
        <v>756</v>
      </c>
      <c r="C243" s="26" t="str">
        <f>"8714800007191"</f>
        <v>8714800007191</v>
      </c>
      <c r="D243" s="5" t="s">
        <v>455</v>
      </c>
      <c r="E243" s="6" t="s">
        <v>5</v>
      </c>
      <c r="F243" s="8">
        <v>42927</v>
      </c>
    </row>
    <row r="244" spans="1:6" x14ac:dyDescent="0.3">
      <c r="A244" s="5" t="str">
        <f>"0457119"</f>
        <v>0457119</v>
      </c>
      <c r="B244" s="6" t="s">
        <v>757</v>
      </c>
      <c r="C244" s="26" t="str">
        <f>"6002323018537"</f>
        <v>6002323018537</v>
      </c>
      <c r="D244" s="5" t="s">
        <v>202</v>
      </c>
      <c r="E244" s="6" t="s">
        <v>5</v>
      </c>
      <c r="F244" s="8">
        <v>42927</v>
      </c>
    </row>
    <row r="245" spans="1:6" x14ac:dyDescent="0.3">
      <c r="A245" s="5" t="str">
        <f>"0489070"</f>
        <v>0489070</v>
      </c>
      <c r="B245" s="6" t="s">
        <v>758</v>
      </c>
      <c r="C245" s="26" t="str">
        <f>"627128123710"</f>
        <v>627128123710</v>
      </c>
      <c r="D245" s="5" t="s">
        <v>759</v>
      </c>
      <c r="E245" s="6" t="s">
        <v>5</v>
      </c>
      <c r="F245" s="8">
        <v>42927</v>
      </c>
    </row>
    <row r="246" spans="1:6" x14ac:dyDescent="0.3">
      <c r="A246" s="5" t="str">
        <f>"0449009"</f>
        <v>0449009</v>
      </c>
      <c r="B246" s="6" t="s">
        <v>760</v>
      </c>
      <c r="C246" s="26" t="str">
        <f>"624327008169"</f>
        <v>624327008169</v>
      </c>
      <c r="D246" s="5" t="s">
        <v>48</v>
      </c>
      <c r="E246" s="6" t="s">
        <v>5</v>
      </c>
      <c r="F246" s="8">
        <v>42927</v>
      </c>
    </row>
    <row r="247" spans="1:6" x14ac:dyDescent="0.3">
      <c r="A247" s="5" t="str">
        <f>"0621110"</f>
        <v>0621110</v>
      </c>
      <c r="B247" s="6" t="s">
        <v>624</v>
      </c>
      <c r="C247" s="26" t="str">
        <f>"063657011836"</f>
        <v>063657011836</v>
      </c>
      <c r="D247" s="5" t="s">
        <v>202</v>
      </c>
      <c r="E247" s="6" t="s">
        <v>5</v>
      </c>
      <c r="F247" s="8">
        <v>42927</v>
      </c>
    </row>
    <row r="248" spans="1:6" x14ac:dyDescent="0.3">
      <c r="A248" s="5" t="str">
        <f>"0328534"</f>
        <v>0328534</v>
      </c>
      <c r="B248" s="6" t="s">
        <v>596</v>
      </c>
      <c r="C248" s="26" t="str">
        <f>"063657005347"</f>
        <v>063657005347</v>
      </c>
      <c r="D248" s="5" t="s">
        <v>202</v>
      </c>
      <c r="E248" s="6" t="s">
        <v>5</v>
      </c>
      <c r="F248" s="8">
        <v>42927</v>
      </c>
    </row>
    <row r="249" spans="1:6" x14ac:dyDescent="0.3">
      <c r="A249" s="5" t="str">
        <f>"0328518"</f>
        <v>0328518</v>
      </c>
      <c r="B249" s="6" t="s">
        <v>594</v>
      </c>
      <c r="C249" s="26" t="str">
        <f>"063657005187"</f>
        <v>063657005187</v>
      </c>
      <c r="D249" s="5" t="s">
        <v>202</v>
      </c>
      <c r="E249" s="6" t="s">
        <v>5</v>
      </c>
      <c r="F249" s="8">
        <v>42927</v>
      </c>
    </row>
    <row r="250" spans="1:6" x14ac:dyDescent="0.3">
      <c r="A250" s="5" t="str">
        <f>"0429803"</f>
        <v>0429803</v>
      </c>
      <c r="B250" s="6" t="s">
        <v>610</v>
      </c>
      <c r="C250" s="26" t="str">
        <f>"063657006641"</f>
        <v>063657006641</v>
      </c>
      <c r="D250" s="5" t="s">
        <v>202</v>
      </c>
      <c r="E250" s="6" t="s">
        <v>5</v>
      </c>
      <c r="F250" s="8">
        <v>42927</v>
      </c>
    </row>
    <row r="251" spans="1:6" ht="27.95" x14ac:dyDescent="0.3">
      <c r="A251" s="5" t="str">
        <f>"0258673"</f>
        <v>0258673</v>
      </c>
      <c r="B251" s="6" t="s">
        <v>761</v>
      </c>
      <c r="C251" s="26" t="str">
        <f>"727530552624"</f>
        <v>727530552624</v>
      </c>
      <c r="D251" s="5" t="s">
        <v>202</v>
      </c>
      <c r="E251" s="9" t="s">
        <v>762</v>
      </c>
      <c r="F251" s="8">
        <v>42927</v>
      </c>
    </row>
    <row r="252" spans="1:6" x14ac:dyDescent="0.3">
      <c r="A252" s="5" t="s">
        <v>763</v>
      </c>
      <c r="B252" s="6" t="s">
        <v>764</v>
      </c>
      <c r="C252" s="26" t="s">
        <v>765</v>
      </c>
      <c r="D252" s="5" t="s">
        <v>25</v>
      </c>
      <c r="E252" s="6" t="s">
        <v>766</v>
      </c>
      <c r="F252" s="8">
        <v>42927</v>
      </c>
    </row>
    <row r="253" spans="1:6" x14ac:dyDescent="0.3">
      <c r="A253" s="5" t="str">
        <f>"0337352"</f>
        <v>0337352</v>
      </c>
      <c r="B253" s="6" t="s">
        <v>767</v>
      </c>
      <c r="C253" s="26" t="str">
        <f>"400003987740"</f>
        <v>400003987740</v>
      </c>
      <c r="D253" s="5" t="s">
        <v>48</v>
      </c>
      <c r="E253" s="6" t="s">
        <v>5</v>
      </c>
      <c r="F253" s="8">
        <v>42927</v>
      </c>
    </row>
    <row r="254" spans="1:6" x14ac:dyDescent="0.3">
      <c r="A254" s="5" t="str">
        <f>"0479592"</f>
        <v>0479592</v>
      </c>
      <c r="B254" s="6" t="s">
        <v>768</v>
      </c>
      <c r="C254" s="26" t="str">
        <f>"627843498001"</f>
        <v>627843498001</v>
      </c>
      <c r="D254" s="5" t="s">
        <v>25</v>
      </c>
      <c r="E254" s="6" t="s">
        <v>5</v>
      </c>
      <c r="F254" s="8">
        <v>42927</v>
      </c>
    </row>
    <row r="255" spans="1:6" s="35" customFormat="1" x14ac:dyDescent="0.3">
      <c r="A255" s="50" t="s">
        <v>754</v>
      </c>
      <c r="B255" s="42" t="s">
        <v>753</v>
      </c>
      <c r="C255" s="34" t="s">
        <v>755</v>
      </c>
      <c r="D255" s="5" t="s">
        <v>25</v>
      </c>
      <c r="E255" s="6" t="s">
        <v>5</v>
      </c>
      <c r="F255" s="8">
        <v>42921</v>
      </c>
    </row>
    <row r="256" spans="1:6" x14ac:dyDescent="0.3">
      <c r="A256" s="5" t="str">
        <f>"0409854"</f>
        <v>0409854</v>
      </c>
      <c r="B256" s="6" t="s">
        <v>751</v>
      </c>
      <c r="C256" s="26" t="str">
        <f>"083783375213"</f>
        <v>083783375213</v>
      </c>
      <c r="D256" s="5" t="s">
        <v>37</v>
      </c>
      <c r="E256" s="6" t="s">
        <v>5</v>
      </c>
      <c r="F256" s="8">
        <v>42921</v>
      </c>
    </row>
    <row r="257" spans="1:6" x14ac:dyDescent="0.3">
      <c r="A257" s="5" t="str">
        <f>"0499327"</f>
        <v>0499327</v>
      </c>
      <c r="B257" s="6" t="s">
        <v>752</v>
      </c>
      <c r="C257" s="26" t="str">
        <f>"812339000596"</f>
        <v>812339000596</v>
      </c>
      <c r="D257" s="5" t="s">
        <v>25</v>
      </c>
      <c r="E257" s="6" t="s">
        <v>86</v>
      </c>
      <c r="F257" s="8">
        <v>42921</v>
      </c>
    </row>
    <row r="258" spans="1:6" x14ac:dyDescent="0.3">
      <c r="A258" s="5" t="str">
        <f>"0166348"</f>
        <v>0166348</v>
      </c>
      <c r="B258" s="6" t="s">
        <v>834</v>
      </c>
      <c r="C258" s="26" t="str">
        <f>"632741103018"</f>
        <v>632741103018</v>
      </c>
      <c r="D258" s="5" t="s">
        <v>496</v>
      </c>
      <c r="E258" s="6" t="s">
        <v>635</v>
      </c>
      <c r="F258" s="8">
        <v>42921</v>
      </c>
    </row>
    <row r="259" spans="1:6" x14ac:dyDescent="0.3">
      <c r="A259" s="5" t="str">
        <f>"0148031"</f>
        <v>0148031</v>
      </c>
      <c r="B259" s="6" t="s">
        <v>743</v>
      </c>
      <c r="C259" s="26" t="str">
        <f>"3830001710991"</f>
        <v>3830001710991</v>
      </c>
      <c r="D259" s="5" t="s">
        <v>48</v>
      </c>
      <c r="E259" s="6" t="s">
        <v>5</v>
      </c>
      <c r="F259" s="8">
        <v>42913</v>
      </c>
    </row>
    <row r="260" spans="1:6" ht="41.95" x14ac:dyDescent="0.3">
      <c r="A260" s="5" t="s">
        <v>162</v>
      </c>
      <c r="B260" s="6" t="s">
        <v>162</v>
      </c>
      <c r="C260" s="26" t="s">
        <v>162</v>
      </c>
      <c r="D260" s="5" t="s">
        <v>162</v>
      </c>
      <c r="E260" s="9" t="s">
        <v>750</v>
      </c>
      <c r="F260" s="8">
        <v>42913</v>
      </c>
    </row>
    <row r="261" spans="1:6" ht="27.95" x14ac:dyDescent="0.3">
      <c r="A261" s="5" t="str">
        <f>"0480715"</f>
        <v>0480715</v>
      </c>
      <c r="B261" s="6" t="s">
        <v>744</v>
      </c>
      <c r="C261" s="26" t="str">
        <f>"727530556424"</f>
        <v>727530556424</v>
      </c>
      <c r="D261" s="5" t="s">
        <v>106</v>
      </c>
      <c r="E261" s="9" t="s">
        <v>745</v>
      </c>
      <c r="F261" s="8">
        <v>42913</v>
      </c>
    </row>
    <row r="262" spans="1:6" x14ac:dyDescent="0.3">
      <c r="A262" s="5" t="str">
        <f>"0416933"</f>
        <v>0416933</v>
      </c>
      <c r="B262" s="6" t="s">
        <v>746</v>
      </c>
      <c r="C262" s="26" t="str">
        <f>"628113002072"</f>
        <v>628113002072</v>
      </c>
      <c r="D262" s="5" t="s">
        <v>48</v>
      </c>
      <c r="E262" s="6" t="s">
        <v>5</v>
      </c>
      <c r="F262" s="8">
        <v>42913</v>
      </c>
    </row>
    <row r="263" spans="1:6" x14ac:dyDescent="0.3">
      <c r="A263" s="5" t="str">
        <f>"0457747"</f>
        <v>0457747</v>
      </c>
      <c r="B263" s="6" t="s">
        <v>747</v>
      </c>
      <c r="C263" s="26" t="str">
        <f>"628113003246"</f>
        <v>628113003246</v>
      </c>
      <c r="D263" s="5" t="s">
        <v>25</v>
      </c>
      <c r="E263" s="6" t="s">
        <v>5</v>
      </c>
      <c r="F263" s="8">
        <v>42913</v>
      </c>
    </row>
    <row r="264" spans="1:6" ht="27.95" x14ac:dyDescent="0.3">
      <c r="A264" s="5" t="str">
        <f>"0266486"</f>
        <v>0266486</v>
      </c>
      <c r="B264" s="6" t="s">
        <v>748</v>
      </c>
      <c r="C264" s="26" t="str">
        <f>"840712001304"</f>
        <v>840712001304</v>
      </c>
      <c r="D264" s="5" t="s">
        <v>202</v>
      </c>
      <c r="E264" s="9" t="s">
        <v>749</v>
      </c>
      <c r="F264" s="8">
        <v>42913</v>
      </c>
    </row>
    <row r="265" spans="1:6" x14ac:dyDescent="0.3">
      <c r="A265" s="5" t="str">
        <f>"0469205"</f>
        <v>0469205</v>
      </c>
      <c r="B265" s="6" t="s">
        <v>736</v>
      </c>
      <c r="C265" s="26" t="str">
        <f>"832136001534"</f>
        <v>832136001534</v>
      </c>
      <c r="D265" s="5" t="s">
        <v>202</v>
      </c>
      <c r="E265" s="6" t="s">
        <v>5</v>
      </c>
      <c r="F265" s="8">
        <v>42906</v>
      </c>
    </row>
    <row r="266" spans="1:6" x14ac:dyDescent="0.3">
      <c r="A266" s="5" t="str">
        <f>"0188862"</f>
        <v>0188862</v>
      </c>
      <c r="B266" s="6" t="s">
        <v>737</v>
      </c>
      <c r="C266" s="26" t="str">
        <f>"624327008299"</f>
        <v>624327008299</v>
      </c>
      <c r="D266" s="5" t="s">
        <v>48</v>
      </c>
      <c r="E266" s="6" t="s">
        <v>5</v>
      </c>
      <c r="F266" s="8">
        <v>42906</v>
      </c>
    </row>
    <row r="267" spans="1:6" x14ac:dyDescent="0.3">
      <c r="A267" s="5" t="s">
        <v>738</v>
      </c>
      <c r="B267" s="6" t="s">
        <v>47</v>
      </c>
      <c r="C267" s="26" t="s">
        <v>739</v>
      </c>
      <c r="D267" s="5" t="s">
        <v>48</v>
      </c>
      <c r="E267" s="6" t="s">
        <v>5</v>
      </c>
      <c r="F267" s="8">
        <v>42906</v>
      </c>
    </row>
    <row r="268" spans="1:6" x14ac:dyDescent="0.3">
      <c r="A268" s="5" t="s">
        <v>740</v>
      </c>
      <c r="B268" s="6" t="s">
        <v>741</v>
      </c>
      <c r="C268" s="26" t="s">
        <v>742</v>
      </c>
      <c r="D268" s="5" t="s">
        <v>48</v>
      </c>
      <c r="E268" s="6" t="s">
        <v>5</v>
      </c>
      <c r="F268" s="8">
        <v>42906</v>
      </c>
    </row>
    <row r="269" spans="1:6" x14ac:dyDescent="0.3">
      <c r="A269" s="5" t="str">
        <f>"0365627"</f>
        <v>0365627</v>
      </c>
      <c r="B269" s="6" t="s">
        <v>681</v>
      </c>
      <c r="C269" s="26" t="str">
        <f>"091037551672"</f>
        <v>091037551672</v>
      </c>
      <c r="D269" s="5" t="s">
        <v>76</v>
      </c>
      <c r="E269" s="6" t="s">
        <v>86</v>
      </c>
      <c r="F269" s="8">
        <v>42906</v>
      </c>
    </row>
    <row r="270" spans="1:6" x14ac:dyDescent="0.3">
      <c r="A270" s="5">
        <v>458380</v>
      </c>
      <c r="B270" s="6" t="s">
        <v>100</v>
      </c>
      <c r="C270" s="26">
        <v>628669010156</v>
      </c>
      <c r="D270" s="5" t="s">
        <v>9</v>
      </c>
      <c r="E270" s="6" t="s">
        <v>86</v>
      </c>
      <c r="F270" s="8">
        <v>42906</v>
      </c>
    </row>
    <row r="271" spans="1:6" x14ac:dyDescent="0.3">
      <c r="A271" s="5" t="str">
        <f>"0191874"</f>
        <v>0191874</v>
      </c>
      <c r="B271" s="6" t="s">
        <v>656</v>
      </c>
      <c r="C271" s="26" t="str">
        <f>"7501064192081"</f>
        <v>7501064192081</v>
      </c>
      <c r="D271" s="5" t="s">
        <v>25</v>
      </c>
      <c r="E271" s="6" t="s">
        <v>710</v>
      </c>
      <c r="F271" s="8">
        <v>42885</v>
      </c>
    </row>
    <row r="272" spans="1:6" x14ac:dyDescent="0.3">
      <c r="A272" s="5" t="str">
        <f>"0622241"</f>
        <v>0622241</v>
      </c>
      <c r="B272" s="6" t="s">
        <v>735</v>
      </c>
      <c r="C272" s="26" t="str">
        <f>"062067567766"</f>
        <v>062067567766</v>
      </c>
      <c r="D272" s="5" t="s">
        <v>124</v>
      </c>
      <c r="E272" s="6" t="s">
        <v>5</v>
      </c>
      <c r="F272" s="8">
        <v>42899</v>
      </c>
    </row>
    <row r="273" spans="1:6" s="39" customFormat="1" ht="27.95" x14ac:dyDescent="0.3">
      <c r="A273" s="36" t="s">
        <v>721</v>
      </c>
      <c r="B273" s="9" t="s">
        <v>722</v>
      </c>
      <c r="C273" s="37" t="s">
        <v>723</v>
      </c>
      <c r="D273" s="36" t="s">
        <v>25</v>
      </c>
      <c r="E273" s="9" t="s">
        <v>733</v>
      </c>
      <c r="F273" s="8">
        <v>42899</v>
      </c>
    </row>
    <row r="274" spans="1:6" s="39" customFormat="1" ht="27.95" x14ac:dyDescent="0.3">
      <c r="A274" s="36" t="s">
        <v>724</v>
      </c>
      <c r="B274" s="9" t="s">
        <v>725</v>
      </c>
      <c r="C274" s="37" t="s">
        <v>726</v>
      </c>
      <c r="D274" s="36" t="s">
        <v>25</v>
      </c>
      <c r="E274" s="9" t="s">
        <v>733</v>
      </c>
      <c r="F274" s="8">
        <v>42899</v>
      </c>
    </row>
    <row r="275" spans="1:6" s="39" customFormat="1" ht="27.95" x14ac:dyDescent="0.3">
      <c r="A275" s="36" t="s">
        <v>727</v>
      </c>
      <c r="B275" s="9" t="s">
        <v>728</v>
      </c>
      <c r="C275" s="37" t="s">
        <v>729</v>
      </c>
      <c r="D275" s="36" t="s">
        <v>98</v>
      </c>
      <c r="E275" s="9" t="s">
        <v>733</v>
      </c>
      <c r="F275" s="8">
        <v>42899</v>
      </c>
    </row>
    <row r="276" spans="1:6" s="39" customFormat="1" ht="27.95" x14ac:dyDescent="0.3">
      <c r="A276" s="36" t="s">
        <v>730</v>
      </c>
      <c r="B276" s="9" t="s">
        <v>731</v>
      </c>
      <c r="C276" s="37" t="s">
        <v>732</v>
      </c>
      <c r="D276" s="36" t="s">
        <v>202</v>
      </c>
      <c r="E276" s="9" t="s">
        <v>733</v>
      </c>
      <c r="F276" s="8">
        <v>42899</v>
      </c>
    </row>
    <row r="277" spans="1:6" x14ac:dyDescent="0.3">
      <c r="A277" s="5" t="s">
        <v>712</v>
      </c>
      <c r="B277" s="6" t="s">
        <v>713</v>
      </c>
      <c r="C277" s="26" t="s">
        <v>714</v>
      </c>
      <c r="D277" s="5" t="s">
        <v>25</v>
      </c>
      <c r="E277" s="6" t="s">
        <v>5</v>
      </c>
      <c r="F277" s="8">
        <v>42899</v>
      </c>
    </row>
    <row r="278" spans="1:6" x14ac:dyDescent="0.3">
      <c r="A278" s="5" t="s">
        <v>715</v>
      </c>
      <c r="B278" s="6" t="s">
        <v>716</v>
      </c>
      <c r="C278" s="26" t="s">
        <v>717</v>
      </c>
      <c r="D278" s="5" t="s">
        <v>25</v>
      </c>
      <c r="E278" s="6" t="s">
        <v>5</v>
      </c>
      <c r="F278" s="8">
        <v>42899</v>
      </c>
    </row>
    <row r="279" spans="1:6" x14ac:dyDescent="0.3">
      <c r="A279" s="5" t="s">
        <v>718</v>
      </c>
      <c r="B279" s="6" t="s">
        <v>719</v>
      </c>
      <c r="C279" s="26" t="s">
        <v>720</v>
      </c>
      <c r="D279" s="5" t="s">
        <v>294</v>
      </c>
      <c r="E279" s="6" t="s">
        <v>5</v>
      </c>
      <c r="F279" s="8">
        <v>42899</v>
      </c>
    </row>
    <row r="280" spans="1:6" x14ac:dyDescent="0.3">
      <c r="A280" s="5" t="str">
        <f>"0415299"</f>
        <v>0415299</v>
      </c>
      <c r="B280" s="6" t="s">
        <v>708</v>
      </c>
      <c r="C280" s="26" t="str">
        <f>"779373542027"</f>
        <v>779373542027</v>
      </c>
      <c r="D280" s="5" t="s">
        <v>202</v>
      </c>
      <c r="E280" s="6" t="s">
        <v>5</v>
      </c>
      <c r="F280" s="8">
        <v>42899</v>
      </c>
    </row>
    <row r="281" spans="1:6" x14ac:dyDescent="0.3">
      <c r="A281" s="5" t="str">
        <f>"0371567"</f>
        <v>0371567</v>
      </c>
      <c r="B281" s="6" t="s">
        <v>709</v>
      </c>
      <c r="C281" s="26" t="str">
        <f>"779373321004"</f>
        <v>779373321004</v>
      </c>
      <c r="D281" s="5" t="s">
        <v>202</v>
      </c>
      <c r="E281" s="6" t="s">
        <v>5</v>
      </c>
      <c r="F281" s="8">
        <v>42899</v>
      </c>
    </row>
    <row r="282" spans="1:6" x14ac:dyDescent="0.3">
      <c r="A282" s="5" t="str">
        <f>"0405472"</f>
        <v>0405472</v>
      </c>
      <c r="B282" s="6" t="s">
        <v>711</v>
      </c>
      <c r="C282" s="26" t="str">
        <f>"056049133056"</f>
        <v>056049133056</v>
      </c>
      <c r="D282" s="5" t="s">
        <v>202</v>
      </c>
      <c r="E282" s="6" t="s">
        <v>5</v>
      </c>
      <c r="F282" s="8">
        <v>42899</v>
      </c>
    </row>
    <row r="283" spans="1:6" ht="27.95" x14ac:dyDescent="0.3">
      <c r="A283" s="5" t="str">
        <f>"0483214"</f>
        <v>0483214</v>
      </c>
      <c r="B283" s="6" t="s">
        <v>706</v>
      </c>
      <c r="C283" s="26" t="str">
        <f>"832136007031"</f>
        <v>832136007031</v>
      </c>
      <c r="D283" s="5" t="s">
        <v>202</v>
      </c>
      <c r="E283" s="9" t="s">
        <v>707</v>
      </c>
      <c r="F283" s="8">
        <v>42899</v>
      </c>
    </row>
    <row r="284" spans="1:6" x14ac:dyDescent="0.3">
      <c r="A284" s="5" t="str">
        <f>"0415299"</f>
        <v>0415299</v>
      </c>
      <c r="B284" s="6" t="s">
        <v>708</v>
      </c>
      <c r="C284" s="26" t="str">
        <f>"779373542027"</f>
        <v>779373542027</v>
      </c>
      <c r="D284" s="5" t="s">
        <v>202</v>
      </c>
      <c r="E284" s="6" t="s">
        <v>5</v>
      </c>
      <c r="F284" s="8">
        <v>42899</v>
      </c>
    </row>
    <row r="285" spans="1:6" x14ac:dyDescent="0.3">
      <c r="A285" s="5" t="str">
        <f>"0371567"</f>
        <v>0371567</v>
      </c>
      <c r="B285" s="6" t="s">
        <v>709</v>
      </c>
      <c r="C285" s="26" t="str">
        <f>"779373321004"</f>
        <v>779373321004</v>
      </c>
      <c r="D285" s="5" t="s">
        <v>202</v>
      </c>
      <c r="E285" s="6" t="s">
        <v>5</v>
      </c>
      <c r="F285" s="8">
        <v>42899</v>
      </c>
    </row>
    <row r="286" spans="1:6" x14ac:dyDescent="0.3">
      <c r="A286" s="5" t="str">
        <f>"0507491"</f>
        <v>0507491</v>
      </c>
      <c r="B286" s="6" t="s">
        <v>734</v>
      </c>
      <c r="C286" s="26" t="str">
        <f>"186360050098"</f>
        <v>186360050098</v>
      </c>
      <c r="D286" s="5" t="s">
        <v>25</v>
      </c>
      <c r="E286" s="6" t="s">
        <v>86</v>
      </c>
      <c r="F286" s="8">
        <v>42899</v>
      </c>
    </row>
    <row r="287" spans="1:6" ht="27.95" x14ac:dyDescent="0.3">
      <c r="A287" s="50" t="s">
        <v>478</v>
      </c>
      <c r="B287" s="42" t="s">
        <v>477</v>
      </c>
      <c r="C287" s="34" t="s">
        <v>479</v>
      </c>
      <c r="D287" s="43" t="s">
        <v>25</v>
      </c>
      <c r="E287" s="9" t="s">
        <v>705</v>
      </c>
      <c r="F287" s="8">
        <v>42892</v>
      </c>
    </row>
    <row r="288" spans="1:6" ht="27.95" x14ac:dyDescent="0.3">
      <c r="A288" s="5" t="str">
        <f>"0337006"</f>
        <v>0337006</v>
      </c>
      <c r="B288" s="6" t="s">
        <v>643</v>
      </c>
      <c r="C288" s="26" t="str">
        <f>"830803001238"</f>
        <v>830803001238</v>
      </c>
      <c r="D288" s="5" t="s">
        <v>25</v>
      </c>
      <c r="E288" s="9" t="s">
        <v>645</v>
      </c>
      <c r="F288" s="8">
        <v>42892</v>
      </c>
    </row>
    <row r="289" spans="1:6" x14ac:dyDescent="0.3">
      <c r="A289" s="5" t="str">
        <f>"0480285"</f>
        <v>0480285</v>
      </c>
      <c r="B289" s="6" t="s">
        <v>674</v>
      </c>
      <c r="C289" s="26" t="str">
        <f>"628679910255"</f>
        <v>628679910255</v>
      </c>
      <c r="D289" s="5" t="s">
        <v>124</v>
      </c>
      <c r="E289" s="6" t="s">
        <v>5</v>
      </c>
      <c r="F289" s="8">
        <v>42892</v>
      </c>
    </row>
    <row r="290" spans="1:6" x14ac:dyDescent="0.3">
      <c r="A290" s="5" t="s">
        <v>675</v>
      </c>
      <c r="B290" s="6" t="s">
        <v>676</v>
      </c>
      <c r="C290" s="26" t="s">
        <v>677</v>
      </c>
      <c r="D290" s="5" t="s">
        <v>294</v>
      </c>
      <c r="E290" s="6" t="s">
        <v>86</v>
      </c>
      <c r="F290" s="8">
        <v>42892</v>
      </c>
    </row>
    <row r="291" spans="1:6" x14ac:dyDescent="0.3">
      <c r="A291" s="5" t="s">
        <v>678</v>
      </c>
      <c r="B291" s="6" t="s">
        <v>679</v>
      </c>
      <c r="C291" s="26" t="s">
        <v>680</v>
      </c>
      <c r="D291" s="5" t="s">
        <v>294</v>
      </c>
      <c r="E291" s="6" t="s">
        <v>86</v>
      </c>
      <c r="F291" s="8">
        <v>42892</v>
      </c>
    </row>
    <row r="292" spans="1:6" x14ac:dyDescent="0.3">
      <c r="A292" s="5" t="str">
        <f>"0365627"</f>
        <v>0365627</v>
      </c>
      <c r="B292" s="6" t="s">
        <v>681</v>
      </c>
      <c r="C292" s="26" t="str">
        <f>"091037551672"</f>
        <v>091037551672</v>
      </c>
      <c r="D292" s="5" t="s">
        <v>76</v>
      </c>
      <c r="E292" s="6" t="s">
        <v>5</v>
      </c>
      <c r="F292" s="8">
        <v>42892</v>
      </c>
    </row>
    <row r="293" spans="1:6" x14ac:dyDescent="0.3">
      <c r="A293" s="5" t="str">
        <f>"0230466"</f>
        <v>0230466</v>
      </c>
      <c r="B293" s="6" t="s">
        <v>682</v>
      </c>
      <c r="C293" s="26" t="str">
        <f>"089819011636"</f>
        <v>089819011636</v>
      </c>
      <c r="D293" s="5" t="s">
        <v>202</v>
      </c>
      <c r="E293" s="6" t="s">
        <v>5</v>
      </c>
      <c r="F293" s="8">
        <v>42892</v>
      </c>
    </row>
    <row r="294" spans="1:6" x14ac:dyDescent="0.3">
      <c r="A294" s="5" t="str">
        <f>"0321877"</f>
        <v>0321877</v>
      </c>
      <c r="B294" s="6" t="s">
        <v>683</v>
      </c>
      <c r="C294" s="26" t="str">
        <f>"779446200472"</f>
        <v>779446200472</v>
      </c>
      <c r="D294" s="5" t="s">
        <v>25</v>
      </c>
      <c r="E294" s="6" t="s">
        <v>86</v>
      </c>
      <c r="F294" s="8">
        <v>42892</v>
      </c>
    </row>
    <row r="295" spans="1:6" x14ac:dyDescent="0.3">
      <c r="A295" s="5" t="str">
        <f>"0449454"</f>
        <v>0449454</v>
      </c>
      <c r="B295" s="6" t="s">
        <v>684</v>
      </c>
      <c r="C295" s="26" t="str">
        <f>"056327009974"</f>
        <v>056327009974</v>
      </c>
      <c r="D295" s="5" t="s">
        <v>25</v>
      </c>
      <c r="E295" s="6" t="s">
        <v>5</v>
      </c>
      <c r="F295" s="8">
        <v>42892</v>
      </c>
    </row>
    <row r="296" spans="1:6" x14ac:dyDescent="0.3">
      <c r="A296" s="5" t="str">
        <f>"0466649"</f>
        <v>0466649</v>
      </c>
      <c r="B296" s="6" t="s">
        <v>685</v>
      </c>
      <c r="C296" s="26" t="str">
        <f>"627843370970"</f>
        <v>627843370970</v>
      </c>
      <c r="D296" s="5" t="s">
        <v>25</v>
      </c>
      <c r="E296" s="6" t="s">
        <v>86</v>
      </c>
      <c r="F296" s="8">
        <v>42892</v>
      </c>
    </row>
    <row r="297" spans="1:6" x14ac:dyDescent="0.3">
      <c r="A297" s="5" t="str">
        <f>"0067710"</f>
        <v>0067710</v>
      </c>
      <c r="B297" s="6" t="s">
        <v>686</v>
      </c>
      <c r="C297" s="26" t="str">
        <f>"625640786758"</f>
        <v>625640786758</v>
      </c>
      <c r="D297" s="5" t="s">
        <v>294</v>
      </c>
      <c r="E297" s="6" t="s">
        <v>86</v>
      </c>
      <c r="F297" s="8">
        <v>42892</v>
      </c>
    </row>
    <row r="298" spans="1:6" x14ac:dyDescent="0.3">
      <c r="A298" s="5" t="str">
        <f>"0488387"</f>
        <v>0488387</v>
      </c>
      <c r="B298" s="6" t="s">
        <v>687</v>
      </c>
      <c r="C298" s="26" t="str">
        <f>"626824162009"</f>
        <v>626824162009</v>
      </c>
      <c r="D298" s="5" t="s">
        <v>25</v>
      </c>
      <c r="E298" s="6" t="s">
        <v>86</v>
      </c>
      <c r="F298" s="8">
        <v>42892</v>
      </c>
    </row>
    <row r="299" spans="1:6" x14ac:dyDescent="0.3">
      <c r="A299" s="5" t="str">
        <f>"0437210"</f>
        <v>0437210</v>
      </c>
      <c r="B299" s="6" t="s">
        <v>688</v>
      </c>
      <c r="C299" s="26" t="str">
        <f>"820103848251"</f>
        <v>820103848251</v>
      </c>
      <c r="D299" s="5" t="s">
        <v>48</v>
      </c>
      <c r="E299" s="6" t="s">
        <v>86</v>
      </c>
      <c r="F299" s="8">
        <v>42892</v>
      </c>
    </row>
    <row r="300" spans="1:6" x14ac:dyDescent="0.3">
      <c r="A300" s="5" t="str">
        <f>"0311225"</f>
        <v>0311225</v>
      </c>
      <c r="B300" s="6" t="s">
        <v>689</v>
      </c>
      <c r="C300" s="26" t="str">
        <f>"624327008305"</f>
        <v>624327008305</v>
      </c>
      <c r="D300" s="5" t="s">
        <v>48</v>
      </c>
      <c r="E300" s="6" t="s">
        <v>86</v>
      </c>
      <c r="F300" s="8">
        <v>42892</v>
      </c>
    </row>
    <row r="301" spans="1:6" x14ac:dyDescent="0.3">
      <c r="A301" s="5" t="s">
        <v>692</v>
      </c>
      <c r="B301" s="6" t="s">
        <v>693</v>
      </c>
      <c r="C301" s="26" t="s">
        <v>694</v>
      </c>
      <c r="D301" s="5" t="s">
        <v>37</v>
      </c>
      <c r="E301" s="6" t="s">
        <v>86</v>
      </c>
      <c r="F301" s="8">
        <v>42892</v>
      </c>
    </row>
    <row r="302" spans="1:6" x14ac:dyDescent="0.3">
      <c r="A302" s="5" t="s">
        <v>695</v>
      </c>
      <c r="B302" s="6" t="s">
        <v>696</v>
      </c>
      <c r="C302" s="26" t="s">
        <v>698</v>
      </c>
      <c r="D302" s="5" t="s">
        <v>697</v>
      </c>
      <c r="E302" s="6" t="s">
        <v>86</v>
      </c>
      <c r="F302" s="8">
        <v>42892</v>
      </c>
    </row>
    <row r="303" spans="1:6" x14ac:dyDescent="0.3">
      <c r="A303" s="5" t="str">
        <f>"0484972"</f>
        <v>0484972</v>
      </c>
      <c r="B303" s="6" t="s">
        <v>699</v>
      </c>
      <c r="C303" s="26" t="str">
        <f>"628669012020"</f>
        <v>628669012020</v>
      </c>
      <c r="D303" s="5" t="s">
        <v>25</v>
      </c>
      <c r="E303" s="6" t="s">
        <v>86</v>
      </c>
      <c r="F303" s="8">
        <v>42892</v>
      </c>
    </row>
    <row r="304" spans="1:6" x14ac:dyDescent="0.3">
      <c r="A304" s="5" t="str">
        <f>"0442673"</f>
        <v>0442673</v>
      </c>
      <c r="B304" s="6" t="s">
        <v>700</v>
      </c>
      <c r="C304" s="26" t="str">
        <f>"628669010040"</f>
        <v>628669010040</v>
      </c>
      <c r="D304" s="5" t="s">
        <v>25</v>
      </c>
      <c r="E304" s="6" t="s">
        <v>86</v>
      </c>
      <c r="F304" s="8">
        <v>42892</v>
      </c>
    </row>
    <row r="305" spans="1:6" x14ac:dyDescent="0.3">
      <c r="A305" s="5" t="str">
        <f>"0132753"</f>
        <v>0132753</v>
      </c>
      <c r="B305" s="6" t="s">
        <v>703</v>
      </c>
      <c r="C305" s="26" t="str">
        <f>"400003456789"</f>
        <v>400003456789</v>
      </c>
      <c r="D305" s="5" t="s">
        <v>48</v>
      </c>
      <c r="E305" s="6" t="s">
        <v>5</v>
      </c>
      <c r="F305" s="8">
        <v>42892</v>
      </c>
    </row>
    <row r="306" spans="1:6" x14ac:dyDescent="0.3">
      <c r="A306" s="5" t="str">
        <f>"0413005"</f>
        <v>0413005</v>
      </c>
      <c r="B306" s="6" t="s">
        <v>704</v>
      </c>
      <c r="C306" s="26" t="str">
        <f>"812339000237"</f>
        <v>812339000237</v>
      </c>
      <c r="D306" s="5" t="s">
        <v>25</v>
      </c>
      <c r="E306" s="6" t="s">
        <v>5</v>
      </c>
      <c r="F306" s="8">
        <v>42892</v>
      </c>
    </row>
    <row r="307" spans="1:6" ht="27.95" x14ac:dyDescent="0.3">
      <c r="A307" s="5" t="str">
        <f>"0404947"</f>
        <v>0404947</v>
      </c>
      <c r="B307" s="6" t="s">
        <v>690</v>
      </c>
      <c r="C307" s="26" t="str">
        <f>"832136008021"</f>
        <v>832136008021</v>
      </c>
      <c r="D307" s="5" t="s">
        <v>202</v>
      </c>
      <c r="E307" s="9" t="s">
        <v>691</v>
      </c>
      <c r="F307" s="8">
        <v>42892</v>
      </c>
    </row>
    <row r="308" spans="1:6" ht="27.95" x14ac:dyDescent="0.3">
      <c r="A308" s="5" t="str">
        <f>"0336495"</f>
        <v>0336495</v>
      </c>
      <c r="B308" s="6" t="s">
        <v>701</v>
      </c>
      <c r="C308" s="26" t="str">
        <f>"832136003446"</f>
        <v>832136003446</v>
      </c>
      <c r="D308" s="5" t="s">
        <v>202</v>
      </c>
      <c r="E308" s="9" t="s">
        <v>702</v>
      </c>
      <c r="F308" s="8">
        <v>42892</v>
      </c>
    </row>
    <row r="309" spans="1:6" ht="27.95" x14ac:dyDescent="0.3">
      <c r="A309" s="5" t="s">
        <v>661</v>
      </c>
      <c r="B309" s="6" t="s">
        <v>21</v>
      </c>
      <c r="C309" s="26" t="s">
        <v>662</v>
      </c>
      <c r="D309" s="5" t="s">
        <v>25</v>
      </c>
      <c r="E309" s="9" t="s">
        <v>672</v>
      </c>
      <c r="F309" s="8">
        <v>42885</v>
      </c>
    </row>
    <row r="310" spans="1:6" ht="27.95" x14ac:dyDescent="0.3">
      <c r="A310" s="5" t="s">
        <v>663</v>
      </c>
      <c r="B310" s="6" t="s">
        <v>208</v>
      </c>
      <c r="C310" s="26" t="s">
        <v>664</v>
      </c>
      <c r="D310" s="5" t="s">
        <v>25</v>
      </c>
      <c r="E310" s="9" t="s">
        <v>672</v>
      </c>
      <c r="F310" s="8">
        <v>42885</v>
      </c>
    </row>
    <row r="311" spans="1:6" ht="27.95" x14ac:dyDescent="0.3">
      <c r="A311" s="5" t="s">
        <v>665</v>
      </c>
      <c r="B311" s="6" t="s">
        <v>209</v>
      </c>
      <c r="C311" s="26" t="s">
        <v>666</v>
      </c>
      <c r="D311" s="5" t="s">
        <v>25</v>
      </c>
      <c r="E311" s="9" t="s">
        <v>672</v>
      </c>
      <c r="F311" s="8">
        <v>42885</v>
      </c>
    </row>
    <row r="312" spans="1:6" ht="27.95" x14ac:dyDescent="0.3">
      <c r="A312" s="5" t="s">
        <v>667</v>
      </c>
      <c r="B312" s="6" t="s">
        <v>668</v>
      </c>
      <c r="C312" s="26" t="s">
        <v>669</v>
      </c>
      <c r="D312" s="5" t="s">
        <v>37</v>
      </c>
      <c r="E312" s="9" t="s">
        <v>672</v>
      </c>
      <c r="F312" s="8">
        <v>42885</v>
      </c>
    </row>
    <row r="313" spans="1:6" ht="27.95" x14ac:dyDescent="0.3">
      <c r="A313" s="5" t="s">
        <v>670</v>
      </c>
      <c r="B313" s="6" t="s">
        <v>210</v>
      </c>
      <c r="C313" s="26" t="s">
        <v>671</v>
      </c>
      <c r="D313" s="5" t="s">
        <v>37</v>
      </c>
      <c r="E313" s="9" t="s">
        <v>672</v>
      </c>
      <c r="F313" s="8">
        <v>42885</v>
      </c>
    </row>
    <row r="314" spans="1:6" ht="27.95" x14ac:dyDescent="0.3">
      <c r="A314" s="5" t="str">
        <f>"0498683"</f>
        <v>0498683</v>
      </c>
      <c r="B314" s="6" t="s">
        <v>673</v>
      </c>
      <c r="C314" s="26" t="str">
        <f>"621433021112"</f>
        <v>621433021112</v>
      </c>
      <c r="D314" s="5" t="s">
        <v>555</v>
      </c>
      <c r="E314" s="9" t="s">
        <v>672</v>
      </c>
      <c r="F314" s="8">
        <v>42885</v>
      </c>
    </row>
    <row r="315" spans="1:6" x14ac:dyDescent="0.3">
      <c r="A315" s="5" t="s">
        <v>646</v>
      </c>
      <c r="B315" s="6" t="s">
        <v>647</v>
      </c>
      <c r="C315" s="26" t="s">
        <v>648</v>
      </c>
      <c r="D315" s="5" t="s">
        <v>48</v>
      </c>
      <c r="E315" s="6" t="s">
        <v>5</v>
      </c>
      <c r="F315" s="8">
        <v>42885</v>
      </c>
    </row>
    <row r="316" spans="1:6" x14ac:dyDescent="0.3">
      <c r="A316" s="5" t="s">
        <v>649</v>
      </c>
      <c r="B316" s="6" t="s">
        <v>650</v>
      </c>
      <c r="C316" s="26" t="s">
        <v>651</v>
      </c>
      <c r="D316" s="5" t="s">
        <v>29</v>
      </c>
      <c r="E316" s="6" t="s">
        <v>5</v>
      </c>
      <c r="F316" s="8">
        <v>42885</v>
      </c>
    </row>
    <row r="317" spans="1:6" x14ac:dyDescent="0.3">
      <c r="A317" s="5" t="str">
        <f>"0589754"</f>
        <v>0589754</v>
      </c>
      <c r="B317" s="6" t="s">
        <v>652</v>
      </c>
      <c r="C317" s="26" t="str">
        <f>"095301130174"</f>
        <v>095301130174</v>
      </c>
      <c r="D317" s="5" t="s">
        <v>294</v>
      </c>
      <c r="E317" s="6" t="s">
        <v>5</v>
      </c>
      <c r="F317" s="8">
        <v>42885</v>
      </c>
    </row>
    <row r="318" spans="1:6" x14ac:dyDescent="0.3">
      <c r="A318" s="5" t="str">
        <f>"0305557"</f>
        <v>0305557</v>
      </c>
      <c r="B318" s="6" t="s">
        <v>653</v>
      </c>
      <c r="C318" s="26" t="str">
        <f>"688444500319"</f>
        <v>688444500319</v>
      </c>
      <c r="D318" s="5" t="s">
        <v>48</v>
      </c>
      <c r="E318" s="6" t="s">
        <v>5</v>
      </c>
      <c r="F318" s="8">
        <v>42885</v>
      </c>
    </row>
    <row r="319" spans="1:6" x14ac:dyDescent="0.3">
      <c r="A319" s="5" t="str">
        <f>"0338491"</f>
        <v>0338491</v>
      </c>
      <c r="B319" s="6" t="s">
        <v>654</v>
      </c>
      <c r="C319" s="26" t="str">
        <f>"085725115277"</f>
        <v>085725115277</v>
      </c>
      <c r="D319" s="5" t="s">
        <v>655</v>
      </c>
      <c r="E319" s="6" t="s">
        <v>5</v>
      </c>
      <c r="F319" s="8">
        <v>42885</v>
      </c>
    </row>
    <row r="320" spans="1:6" x14ac:dyDescent="0.3">
      <c r="A320" s="5" t="str">
        <f>"0191874"</f>
        <v>0191874</v>
      </c>
      <c r="B320" s="6" t="s">
        <v>656</v>
      </c>
      <c r="C320" s="26" t="str">
        <f>"7501064192081"</f>
        <v>7501064192081</v>
      </c>
      <c r="D320" s="5" t="s">
        <v>25</v>
      </c>
      <c r="E320" s="6" t="s">
        <v>5</v>
      </c>
      <c r="F320" s="8">
        <v>42885</v>
      </c>
    </row>
    <row r="321" spans="1:6" x14ac:dyDescent="0.3">
      <c r="A321" s="5" t="str">
        <f>"0378190"</f>
        <v>0378190</v>
      </c>
      <c r="B321" s="6" t="s">
        <v>657</v>
      </c>
      <c r="C321" s="26" t="str">
        <f>"062067960789"</f>
        <v>062067960789</v>
      </c>
      <c r="D321" s="5" t="s">
        <v>658</v>
      </c>
      <c r="E321" s="6" t="s">
        <v>5</v>
      </c>
      <c r="F321" s="8">
        <v>42885</v>
      </c>
    </row>
    <row r="322" spans="1:6" x14ac:dyDescent="0.3">
      <c r="A322" s="5" t="str">
        <f>"0449561"</f>
        <v>0449561</v>
      </c>
      <c r="B322" s="6" t="s">
        <v>659</v>
      </c>
      <c r="C322" s="26" t="str">
        <f>"062067861536"</f>
        <v>062067861536</v>
      </c>
      <c r="D322" s="5" t="s">
        <v>25</v>
      </c>
      <c r="E322" s="6" t="s">
        <v>5</v>
      </c>
      <c r="F322" s="8">
        <v>42885</v>
      </c>
    </row>
    <row r="323" spans="1:6" x14ac:dyDescent="0.3">
      <c r="A323" s="5" t="str">
        <f>"0188870"</f>
        <v>0188870</v>
      </c>
      <c r="B323" s="6" t="s">
        <v>660</v>
      </c>
      <c r="C323" s="26" t="str">
        <f>"5060167340024"</f>
        <v>5060167340024</v>
      </c>
      <c r="D323" s="5" t="s">
        <v>48</v>
      </c>
      <c r="E323" s="6" t="s">
        <v>5</v>
      </c>
      <c r="F323" s="8">
        <v>42885</v>
      </c>
    </row>
    <row r="324" spans="1:6" x14ac:dyDescent="0.3">
      <c r="A324" s="5" t="str">
        <f>"0483644"</f>
        <v>0483644</v>
      </c>
      <c r="B324" s="6" t="s">
        <v>644</v>
      </c>
      <c r="C324" s="26" t="str">
        <f>"627128108205"</f>
        <v>627128108205</v>
      </c>
      <c r="D324" s="5" t="s">
        <v>202</v>
      </c>
      <c r="E324" s="6" t="s">
        <v>5</v>
      </c>
      <c r="F324" s="8">
        <v>42885</v>
      </c>
    </row>
    <row r="325" spans="1:6" x14ac:dyDescent="0.3">
      <c r="A325" s="5" t="str">
        <f>"0455832"</f>
        <v>0455832</v>
      </c>
      <c r="B325" s="6" t="s">
        <v>641</v>
      </c>
      <c r="C325" s="26" t="str">
        <f>"779305231074"</f>
        <v>779305231074</v>
      </c>
      <c r="D325" s="5" t="s">
        <v>25</v>
      </c>
      <c r="E325" s="6" t="s">
        <v>5</v>
      </c>
      <c r="F325" s="8">
        <v>42885</v>
      </c>
    </row>
    <row r="326" spans="1:6" x14ac:dyDescent="0.3">
      <c r="A326" s="5" t="str">
        <f>"0468553"</f>
        <v>0468553</v>
      </c>
      <c r="B326" s="6" t="s">
        <v>640</v>
      </c>
      <c r="C326" s="26" t="str">
        <f>"626824000165"</f>
        <v>626824000165</v>
      </c>
      <c r="D326" s="5" t="s">
        <v>25</v>
      </c>
      <c r="E326" s="6" t="s">
        <v>5</v>
      </c>
      <c r="F326" s="8">
        <v>42885</v>
      </c>
    </row>
    <row r="327" spans="1:6" x14ac:dyDescent="0.3">
      <c r="A327" s="5" t="str">
        <f>"0435743"</f>
        <v>0435743</v>
      </c>
      <c r="B327" s="6" t="s">
        <v>224</v>
      </c>
      <c r="C327" s="26" t="str">
        <f>"5023625004487"</f>
        <v>5023625004487</v>
      </c>
      <c r="D327" s="5" t="s">
        <v>48</v>
      </c>
      <c r="E327" s="6" t="s">
        <v>5</v>
      </c>
      <c r="F327" s="8">
        <v>42885</v>
      </c>
    </row>
    <row r="328" spans="1:6" x14ac:dyDescent="0.3">
      <c r="A328" s="5" t="str">
        <f>"0389098"</f>
        <v>0389098</v>
      </c>
      <c r="B328" s="6" t="s">
        <v>239</v>
      </c>
      <c r="C328" s="26" t="str">
        <f>"612554001008"</f>
        <v>612554001008</v>
      </c>
      <c r="D328" s="5" t="s">
        <v>25</v>
      </c>
      <c r="E328" s="6" t="s">
        <v>86</v>
      </c>
      <c r="F328" s="8">
        <v>42885</v>
      </c>
    </row>
    <row r="329" spans="1:6" x14ac:dyDescent="0.3">
      <c r="A329" s="5" t="str">
        <f>"0497883"</f>
        <v>0497883</v>
      </c>
      <c r="B329" s="6" t="s">
        <v>638</v>
      </c>
      <c r="C329" s="26" t="str">
        <f>"186360050074"</f>
        <v>186360050074</v>
      </c>
      <c r="D329" s="5" t="s">
        <v>25</v>
      </c>
      <c r="E329" s="6" t="s">
        <v>86</v>
      </c>
      <c r="F329" s="8">
        <v>42879</v>
      </c>
    </row>
    <row r="330" spans="1:6" x14ac:dyDescent="0.3">
      <c r="A330" s="5" t="str">
        <f>"0483974"</f>
        <v>0483974</v>
      </c>
      <c r="B330" s="6" t="s">
        <v>639</v>
      </c>
      <c r="C330" s="26" t="str">
        <f>"693550001025"</f>
        <v>693550001025</v>
      </c>
      <c r="D330" s="5" t="s">
        <v>202</v>
      </c>
      <c r="E330" s="6" t="s">
        <v>5</v>
      </c>
      <c r="F330" s="8">
        <v>42879</v>
      </c>
    </row>
    <row r="331" spans="1:6" ht="27.95" x14ac:dyDescent="0.3">
      <c r="A331" s="5" t="str">
        <f>"0367318"</f>
        <v>0367318</v>
      </c>
      <c r="B331" s="6" t="s">
        <v>636</v>
      </c>
      <c r="C331" s="26" t="str">
        <f>"405392013254"</f>
        <v>405392013254</v>
      </c>
      <c r="D331" s="5" t="s">
        <v>202</v>
      </c>
      <c r="E331" s="9" t="s">
        <v>637</v>
      </c>
      <c r="F331" s="8">
        <v>42871</v>
      </c>
    </row>
    <row r="332" spans="1:6" x14ac:dyDescent="0.3">
      <c r="A332" s="5" t="s">
        <v>629</v>
      </c>
      <c r="B332" s="6" t="s">
        <v>630</v>
      </c>
      <c r="C332" s="26" t="s">
        <v>631</v>
      </c>
      <c r="D332" s="5" t="s">
        <v>202</v>
      </c>
      <c r="E332" s="6" t="s">
        <v>635</v>
      </c>
      <c r="F332" s="8">
        <v>42871</v>
      </c>
    </row>
    <row r="333" spans="1:6" x14ac:dyDescent="0.3">
      <c r="A333" s="5" t="s">
        <v>632</v>
      </c>
      <c r="B333" s="6" t="s">
        <v>633</v>
      </c>
      <c r="C333" s="26" t="s">
        <v>634</v>
      </c>
      <c r="D333" s="5" t="s">
        <v>202</v>
      </c>
      <c r="E333" s="6" t="s">
        <v>635</v>
      </c>
      <c r="F333" s="8">
        <v>42871</v>
      </c>
    </row>
    <row r="334" spans="1:6" ht="27.95" x14ac:dyDescent="0.3">
      <c r="A334" s="5" t="str">
        <f>"0058438"</f>
        <v>0058438</v>
      </c>
      <c r="B334" s="6" t="s">
        <v>558</v>
      </c>
      <c r="C334" s="26" t="s">
        <v>559</v>
      </c>
      <c r="D334" s="5" t="s">
        <v>202</v>
      </c>
      <c r="E334" s="9" t="s">
        <v>628</v>
      </c>
      <c r="F334" s="8">
        <v>42871</v>
      </c>
    </row>
    <row r="335" spans="1:6" ht="27.95" x14ac:dyDescent="0.3">
      <c r="A335" s="5" t="str">
        <f>"0066266"</f>
        <v>0066266</v>
      </c>
      <c r="B335" s="6" t="s">
        <v>560</v>
      </c>
      <c r="C335" s="26" t="s">
        <v>561</v>
      </c>
      <c r="D335" s="5" t="s">
        <v>202</v>
      </c>
      <c r="E335" s="9" t="s">
        <v>628</v>
      </c>
      <c r="F335" s="8">
        <v>42871</v>
      </c>
    </row>
    <row r="336" spans="1:6" ht="27.95" x14ac:dyDescent="0.3">
      <c r="A336" s="5" t="str">
        <f>"0083790"</f>
        <v>0083790</v>
      </c>
      <c r="B336" s="6" t="s">
        <v>562</v>
      </c>
      <c r="C336" s="26" t="s">
        <v>563</v>
      </c>
      <c r="D336" s="5" t="s">
        <v>202</v>
      </c>
      <c r="E336" s="9" t="s">
        <v>628</v>
      </c>
      <c r="F336" s="8">
        <v>42871</v>
      </c>
    </row>
    <row r="337" spans="1:6" ht="27.95" x14ac:dyDescent="0.3">
      <c r="A337" s="5" t="str">
        <f>"0109959"</f>
        <v>0109959</v>
      </c>
      <c r="B337" s="6" t="s">
        <v>564</v>
      </c>
      <c r="C337" s="26" t="s">
        <v>565</v>
      </c>
      <c r="D337" s="5" t="s">
        <v>202</v>
      </c>
      <c r="E337" s="9" t="s">
        <v>628</v>
      </c>
      <c r="F337" s="8">
        <v>42871</v>
      </c>
    </row>
    <row r="338" spans="1:6" ht="27.95" x14ac:dyDescent="0.3">
      <c r="A338" s="5" t="str">
        <f>"0134957"</f>
        <v>0134957</v>
      </c>
      <c r="B338" s="6" t="s">
        <v>566</v>
      </c>
      <c r="C338" s="26" t="s">
        <v>567</v>
      </c>
      <c r="D338" s="5" t="s">
        <v>202</v>
      </c>
      <c r="E338" s="9" t="s">
        <v>628</v>
      </c>
      <c r="F338" s="8">
        <v>42871</v>
      </c>
    </row>
    <row r="339" spans="1:6" ht="27.95" x14ac:dyDescent="0.3">
      <c r="A339" s="5" t="str">
        <f>"0134965"</f>
        <v>0134965</v>
      </c>
      <c r="B339" s="6" t="s">
        <v>568</v>
      </c>
      <c r="C339" s="26" t="s">
        <v>569</v>
      </c>
      <c r="D339" s="5" t="s">
        <v>202</v>
      </c>
      <c r="E339" s="9" t="s">
        <v>628</v>
      </c>
      <c r="F339" s="8">
        <v>42871</v>
      </c>
    </row>
    <row r="340" spans="1:6" ht="27.95" x14ac:dyDescent="0.3">
      <c r="A340" s="5" t="str">
        <f>"0140129"</f>
        <v>0140129</v>
      </c>
      <c r="B340" s="6" t="s">
        <v>570</v>
      </c>
      <c r="C340" s="26" t="s">
        <v>571</v>
      </c>
      <c r="D340" s="5" t="s">
        <v>202</v>
      </c>
      <c r="E340" s="9" t="s">
        <v>628</v>
      </c>
      <c r="F340" s="8">
        <v>42871</v>
      </c>
    </row>
    <row r="341" spans="1:6" ht="27.95" x14ac:dyDescent="0.3">
      <c r="A341" s="5" t="str">
        <f>"0145458"</f>
        <v>0145458</v>
      </c>
      <c r="B341" s="6" t="s">
        <v>572</v>
      </c>
      <c r="C341" s="26" t="s">
        <v>573</v>
      </c>
      <c r="D341" s="5" t="s">
        <v>202</v>
      </c>
      <c r="E341" s="9" t="s">
        <v>628</v>
      </c>
      <c r="F341" s="8">
        <v>42871</v>
      </c>
    </row>
    <row r="342" spans="1:6" ht="27.95" x14ac:dyDescent="0.3">
      <c r="A342" s="5" t="str">
        <f>"0175349"</f>
        <v>0175349</v>
      </c>
      <c r="B342" s="6" t="s">
        <v>574</v>
      </c>
      <c r="C342" s="26" t="s">
        <v>575</v>
      </c>
      <c r="D342" s="5" t="s">
        <v>202</v>
      </c>
      <c r="E342" s="9" t="s">
        <v>628</v>
      </c>
      <c r="F342" s="8">
        <v>42871</v>
      </c>
    </row>
    <row r="343" spans="1:6" ht="27.95" x14ac:dyDescent="0.3">
      <c r="A343" s="5" t="str">
        <f>"0178681"</f>
        <v>0178681</v>
      </c>
      <c r="B343" s="6" t="s">
        <v>576</v>
      </c>
      <c r="C343" s="26" t="s">
        <v>577</v>
      </c>
      <c r="D343" s="5" t="s">
        <v>202</v>
      </c>
      <c r="E343" s="9" t="s">
        <v>628</v>
      </c>
      <c r="F343" s="8">
        <v>42871</v>
      </c>
    </row>
    <row r="344" spans="1:6" ht="27.95" x14ac:dyDescent="0.3">
      <c r="A344" s="5" t="str">
        <f>"0188177"</f>
        <v>0188177</v>
      </c>
      <c r="B344" s="6" t="s">
        <v>578</v>
      </c>
      <c r="C344" s="26" t="s">
        <v>579</v>
      </c>
      <c r="D344" s="5" t="s">
        <v>202</v>
      </c>
      <c r="E344" s="9" t="s">
        <v>628</v>
      </c>
      <c r="F344" s="8">
        <v>42871</v>
      </c>
    </row>
    <row r="345" spans="1:6" ht="27.95" x14ac:dyDescent="0.3">
      <c r="A345" s="5" t="str">
        <f>"0217679"</f>
        <v>0217679</v>
      </c>
      <c r="B345" s="6" t="s">
        <v>580</v>
      </c>
      <c r="C345" s="26" t="s">
        <v>581</v>
      </c>
      <c r="D345" s="5" t="s">
        <v>202</v>
      </c>
      <c r="E345" s="9" t="s">
        <v>628</v>
      </c>
      <c r="F345" s="8">
        <v>42871</v>
      </c>
    </row>
    <row r="346" spans="1:6" ht="27.95" x14ac:dyDescent="0.3">
      <c r="A346" s="5" t="str">
        <f>"0219543"</f>
        <v>0219543</v>
      </c>
      <c r="B346" s="6" t="s">
        <v>582</v>
      </c>
      <c r="C346" s="26" t="s">
        <v>583</v>
      </c>
      <c r="D346" s="5" t="s">
        <v>202</v>
      </c>
      <c r="E346" s="9" t="s">
        <v>628</v>
      </c>
      <c r="F346" s="8">
        <v>42871</v>
      </c>
    </row>
    <row r="347" spans="1:6" ht="27.95" x14ac:dyDescent="0.3">
      <c r="A347" s="62">
        <v>245712</v>
      </c>
      <c r="B347" s="6" t="s">
        <v>584</v>
      </c>
      <c r="C347" s="26" t="s">
        <v>585</v>
      </c>
      <c r="D347" s="5" t="s">
        <v>202</v>
      </c>
      <c r="E347" s="9" t="s">
        <v>628</v>
      </c>
      <c r="F347" s="8">
        <v>42871</v>
      </c>
    </row>
    <row r="348" spans="1:6" ht="27.95" x14ac:dyDescent="0.3">
      <c r="A348" s="62">
        <v>250209</v>
      </c>
      <c r="B348" s="6" t="s">
        <v>586</v>
      </c>
      <c r="C348" s="26" t="s">
        <v>587</v>
      </c>
      <c r="D348" s="5" t="s">
        <v>202</v>
      </c>
      <c r="E348" s="9" t="s">
        <v>628</v>
      </c>
      <c r="F348" s="8">
        <v>42871</v>
      </c>
    </row>
    <row r="349" spans="1:6" ht="27.95" x14ac:dyDescent="0.3">
      <c r="A349" s="62">
        <v>261099</v>
      </c>
      <c r="B349" s="6" t="s">
        <v>588</v>
      </c>
      <c r="C349" s="26" t="s">
        <v>589</v>
      </c>
      <c r="D349" s="5" t="s">
        <v>202</v>
      </c>
      <c r="E349" s="9" t="s">
        <v>628</v>
      </c>
      <c r="F349" s="8">
        <v>42871</v>
      </c>
    </row>
    <row r="350" spans="1:6" ht="27.95" x14ac:dyDescent="0.3">
      <c r="A350" s="62">
        <v>317016</v>
      </c>
      <c r="B350" s="6" t="s">
        <v>590</v>
      </c>
      <c r="C350" s="26" t="s">
        <v>591</v>
      </c>
      <c r="D350" s="5" t="s">
        <v>202</v>
      </c>
      <c r="E350" s="9" t="s">
        <v>628</v>
      </c>
      <c r="F350" s="8">
        <v>42871</v>
      </c>
    </row>
    <row r="351" spans="1:6" ht="27.95" x14ac:dyDescent="0.3">
      <c r="A351" s="62">
        <v>317768</v>
      </c>
      <c r="B351" s="6" t="s">
        <v>592</v>
      </c>
      <c r="C351" s="26" t="s">
        <v>593</v>
      </c>
      <c r="D351" s="5" t="s">
        <v>202</v>
      </c>
      <c r="E351" s="9" t="s">
        <v>628</v>
      </c>
      <c r="F351" s="8">
        <v>42871</v>
      </c>
    </row>
    <row r="352" spans="1:6" ht="27.95" x14ac:dyDescent="0.3">
      <c r="A352" s="62">
        <v>328518</v>
      </c>
      <c r="B352" s="6" t="s">
        <v>594</v>
      </c>
      <c r="C352" s="26" t="s">
        <v>595</v>
      </c>
      <c r="D352" s="5" t="s">
        <v>202</v>
      </c>
      <c r="E352" s="9" t="s">
        <v>628</v>
      </c>
      <c r="F352" s="8">
        <v>42871</v>
      </c>
    </row>
    <row r="353" spans="1:6" ht="27.95" x14ac:dyDescent="0.3">
      <c r="A353" s="62">
        <v>328534</v>
      </c>
      <c r="B353" s="6" t="s">
        <v>596</v>
      </c>
      <c r="C353" s="26" t="s">
        <v>597</v>
      </c>
      <c r="D353" s="5" t="s">
        <v>202</v>
      </c>
      <c r="E353" s="9" t="s">
        <v>628</v>
      </c>
      <c r="F353" s="8">
        <v>42871</v>
      </c>
    </row>
    <row r="354" spans="1:6" ht="27.95" x14ac:dyDescent="0.3">
      <c r="A354" s="62">
        <v>348979</v>
      </c>
      <c r="B354" s="6" t="s">
        <v>598</v>
      </c>
      <c r="C354" s="26" t="s">
        <v>599</v>
      </c>
      <c r="D354" s="5" t="s">
        <v>202</v>
      </c>
      <c r="E354" s="9" t="s">
        <v>628</v>
      </c>
      <c r="F354" s="8">
        <v>42871</v>
      </c>
    </row>
    <row r="355" spans="1:6" ht="27.95" x14ac:dyDescent="0.3">
      <c r="A355" s="62">
        <v>357137</v>
      </c>
      <c r="B355" s="6" t="s">
        <v>600</v>
      </c>
      <c r="C355" s="26" t="s">
        <v>601</v>
      </c>
      <c r="D355" s="5" t="s">
        <v>202</v>
      </c>
      <c r="E355" s="9" t="s">
        <v>628</v>
      </c>
      <c r="F355" s="8">
        <v>42871</v>
      </c>
    </row>
    <row r="356" spans="1:6" ht="27.95" x14ac:dyDescent="0.3">
      <c r="A356" s="62">
        <v>357145</v>
      </c>
      <c r="B356" s="6" t="s">
        <v>602</v>
      </c>
      <c r="C356" s="26" t="s">
        <v>603</v>
      </c>
      <c r="D356" s="5" t="s">
        <v>202</v>
      </c>
      <c r="E356" s="9" t="s">
        <v>628</v>
      </c>
      <c r="F356" s="8">
        <v>42871</v>
      </c>
    </row>
    <row r="357" spans="1:6" ht="27.95" x14ac:dyDescent="0.3">
      <c r="A357" s="62">
        <v>387050</v>
      </c>
      <c r="B357" s="6" t="s">
        <v>604</v>
      </c>
      <c r="C357" s="26" t="s">
        <v>605</v>
      </c>
      <c r="D357" s="5" t="s">
        <v>202</v>
      </c>
      <c r="E357" s="9" t="s">
        <v>628</v>
      </c>
      <c r="F357" s="8">
        <v>42871</v>
      </c>
    </row>
    <row r="358" spans="1:6" ht="27.95" x14ac:dyDescent="0.3">
      <c r="A358" s="62">
        <v>388306</v>
      </c>
      <c r="B358" s="6" t="s">
        <v>606</v>
      </c>
      <c r="C358" s="26" t="s">
        <v>607</v>
      </c>
      <c r="D358" s="5" t="s">
        <v>137</v>
      </c>
      <c r="E358" s="9" t="s">
        <v>628</v>
      </c>
      <c r="F358" s="8">
        <v>42871</v>
      </c>
    </row>
    <row r="359" spans="1:6" ht="27.95" x14ac:dyDescent="0.3">
      <c r="A359" s="62">
        <v>389411</v>
      </c>
      <c r="B359" s="6" t="s">
        <v>608</v>
      </c>
      <c r="C359" s="26" t="s">
        <v>609</v>
      </c>
      <c r="D359" s="5" t="s">
        <v>137</v>
      </c>
      <c r="E359" s="9" t="s">
        <v>628</v>
      </c>
      <c r="F359" s="8">
        <v>42871</v>
      </c>
    </row>
    <row r="360" spans="1:6" ht="27.95" x14ac:dyDescent="0.3">
      <c r="A360" s="62">
        <v>429803</v>
      </c>
      <c r="B360" s="6" t="s">
        <v>610</v>
      </c>
      <c r="C360" s="26" t="s">
        <v>611</v>
      </c>
      <c r="D360" s="5" t="s">
        <v>202</v>
      </c>
      <c r="E360" s="9" t="s">
        <v>628</v>
      </c>
      <c r="F360" s="8">
        <v>42871</v>
      </c>
    </row>
    <row r="361" spans="1:6" ht="27.95" x14ac:dyDescent="0.3">
      <c r="A361" s="62">
        <v>485144</v>
      </c>
      <c r="B361" s="6" t="s">
        <v>612</v>
      </c>
      <c r="C361" s="26" t="s">
        <v>613</v>
      </c>
      <c r="D361" s="5" t="s">
        <v>202</v>
      </c>
      <c r="E361" s="9" t="s">
        <v>628</v>
      </c>
      <c r="F361" s="8">
        <v>42871</v>
      </c>
    </row>
    <row r="362" spans="1:6" ht="27.95" x14ac:dyDescent="0.3">
      <c r="A362" s="62">
        <v>492231</v>
      </c>
      <c r="B362" s="6" t="s">
        <v>614</v>
      </c>
      <c r="C362" s="26" t="s">
        <v>615</v>
      </c>
      <c r="D362" s="5" t="s">
        <v>455</v>
      </c>
      <c r="E362" s="9" t="s">
        <v>628</v>
      </c>
      <c r="F362" s="8">
        <v>42871</v>
      </c>
    </row>
    <row r="363" spans="1:6" ht="27.95" x14ac:dyDescent="0.3">
      <c r="A363" s="62">
        <v>492249</v>
      </c>
      <c r="B363" s="6" t="s">
        <v>616</v>
      </c>
      <c r="C363" s="26" t="s">
        <v>617</v>
      </c>
      <c r="D363" s="5" t="s">
        <v>455</v>
      </c>
      <c r="E363" s="9" t="s">
        <v>628</v>
      </c>
      <c r="F363" s="8">
        <v>42871</v>
      </c>
    </row>
    <row r="364" spans="1:6" ht="27.95" x14ac:dyDescent="0.3">
      <c r="A364" s="62">
        <v>526228</v>
      </c>
      <c r="B364" s="6" t="s">
        <v>618</v>
      </c>
      <c r="C364" s="26" t="s">
        <v>619</v>
      </c>
      <c r="D364" s="5" t="s">
        <v>202</v>
      </c>
      <c r="E364" s="9" t="s">
        <v>628</v>
      </c>
      <c r="F364" s="8">
        <v>42871</v>
      </c>
    </row>
    <row r="365" spans="1:6" ht="27.95" x14ac:dyDescent="0.3">
      <c r="A365" s="62">
        <v>526251</v>
      </c>
      <c r="B365" s="6" t="s">
        <v>620</v>
      </c>
      <c r="C365" s="26" t="s">
        <v>621</v>
      </c>
      <c r="D365" s="5" t="s">
        <v>202</v>
      </c>
      <c r="E365" s="9" t="s">
        <v>628</v>
      </c>
      <c r="F365" s="8">
        <v>42871</v>
      </c>
    </row>
    <row r="366" spans="1:6" ht="27.95" x14ac:dyDescent="0.3">
      <c r="A366" s="62">
        <v>560680</v>
      </c>
      <c r="B366" s="6" t="s">
        <v>622</v>
      </c>
      <c r="C366" s="26" t="s">
        <v>623</v>
      </c>
      <c r="D366" s="5" t="s">
        <v>202</v>
      </c>
      <c r="E366" s="9" t="s">
        <v>628</v>
      </c>
      <c r="F366" s="8">
        <v>42871</v>
      </c>
    </row>
    <row r="367" spans="1:6" ht="27.95" x14ac:dyDescent="0.3">
      <c r="A367" s="62">
        <v>621110</v>
      </c>
      <c r="B367" s="6" t="s">
        <v>624</v>
      </c>
      <c r="C367" s="26" t="s">
        <v>625</v>
      </c>
      <c r="D367" s="5" t="s">
        <v>202</v>
      </c>
      <c r="E367" s="9" t="s">
        <v>628</v>
      </c>
      <c r="F367" s="8">
        <v>42871</v>
      </c>
    </row>
    <row r="368" spans="1:6" ht="27.95" x14ac:dyDescent="0.3">
      <c r="A368" s="62">
        <v>627166</v>
      </c>
      <c r="B368" s="6" t="s">
        <v>626</v>
      </c>
      <c r="C368" s="26" t="s">
        <v>627</v>
      </c>
      <c r="D368" s="5" t="s">
        <v>202</v>
      </c>
      <c r="E368" s="9" t="s">
        <v>628</v>
      </c>
      <c r="F368" s="8">
        <v>42871</v>
      </c>
    </row>
    <row r="369" spans="1:16384" ht="27.95" x14ac:dyDescent="0.3">
      <c r="A369" s="5" t="str">
        <f>"0130252"</f>
        <v>0130252</v>
      </c>
      <c r="B369" s="6" t="s">
        <v>556</v>
      </c>
      <c r="C369" s="26" t="str">
        <f>"670459005903"</f>
        <v>670459005903</v>
      </c>
      <c r="D369" s="5" t="s">
        <v>202</v>
      </c>
      <c r="E369" s="9" t="s">
        <v>557</v>
      </c>
      <c r="F369" s="8">
        <v>42871</v>
      </c>
    </row>
    <row r="370" spans="1:16384" x14ac:dyDescent="0.3">
      <c r="A370" s="5" t="str">
        <f>"0479436"</f>
        <v>0479436</v>
      </c>
      <c r="B370" s="6" t="s">
        <v>554</v>
      </c>
      <c r="C370" s="26" t="str">
        <f>"621433020108"</f>
        <v>621433020108</v>
      </c>
      <c r="D370" s="5" t="s">
        <v>555</v>
      </c>
      <c r="E370" s="6" t="s">
        <v>86</v>
      </c>
      <c r="F370" s="8">
        <v>42871</v>
      </c>
    </row>
    <row r="371" spans="1:16384" x14ac:dyDescent="0.3">
      <c r="A371" s="5" t="str">
        <f>"0488155"</f>
        <v>0488155</v>
      </c>
      <c r="B371" s="6" t="s">
        <v>553</v>
      </c>
      <c r="C371" s="26" t="str">
        <f>"626824000226"</f>
        <v>626824000226</v>
      </c>
      <c r="D371" s="5" t="s">
        <v>98</v>
      </c>
      <c r="E371" s="6" t="s">
        <v>5</v>
      </c>
      <c r="F371" s="8">
        <v>42871</v>
      </c>
    </row>
    <row r="372" spans="1:16384" x14ac:dyDescent="0.3">
      <c r="A372" s="5" t="s">
        <v>544</v>
      </c>
      <c r="B372" s="6" t="s">
        <v>545</v>
      </c>
      <c r="C372" s="26" t="s">
        <v>546</v>
      </c>
      <c r="D372" s="5" t="s">
        <v>25</v>
      </c>
      <c r="E372" s="6" t="s">
        <v>5</v>
      </c>
      <c r="F372" s="8">
        <v>42871</v>
      </c>
    </row>
    <row r="373" spans="1:16384" x14ac:dyDescent="0.3">
      <c r="A373" s="5" t="s">
        <v>547</v>
      </c>
      <c r="B373" s="6" t="s">
        <v>548</v>
      </c>
      <c r="C373" s="26" t="s">
        <v>549</v>
      </c>
      <c r="D373" s="5" t="s">
        <v>25</v>
      </c>
      <c r="E373" s="6" t="s">
        <v>5</v>
      </c>
      <c r="F373" s="8">
        <v>42871</v>
      </c>
    </row>
    <row r="374" spans="1:16384" x14ac:dyDescent="0.3">
      <c r="A374" s="5" t="s">
        <v>550</v>
      </c>
      <c r="B374" s="6" t="s">
        <v>551</v>
      </c>
      <c r="C374" s="26" t="s">
        <v>552</v>
      </c>
      <c r="D374" s="5" t="s">
        <v>25</v>
      </c>
      <c r="E374" s="6" t="s">
        <v>5</v>
      </c>
      <c r="F374" s="8">
        <v>42871</v>
      </c>
    </row>
    <row r="375" spans="1:16384" ht="27.95" x14ac:dyDescent="0.3">
      <c r="A375" s="5" t="str">
        <f>"0180810"</f>
        <v>0180810</v>
      </c>
      <c r="B375" s="6" t="s">
        <v>26</v>
      </c>
      <c r="C375" s="26" t="str">
        <f>"018200004155"</f>
        <v>018200004155</v>
      </c>
      <c r="D375" s="5" t="s">
        <v>25</v>
      </c>
      <c r="E375" s="9" t="s">
        <v>543</v>
      </c>
      <c r="F375" s="8">
        <v>42871</v>
      </c>
    </row>
    <row r="376" spans="1:16384" ht="27.95" x14ac:dyDescent="0.3">
      <c r="A376" s="5" t="str">
        <f>"0274662"</f>
        <v>0274662</v>
      </c>
      <c r="B376" s="6" t="s">
        <v>527</v>
      </c>
      <c r="C376" s="26" t="str">
        <f>"727530556523"</f>
        <v>727530556523</v>
      </c>
      <c r="D376" s="5" t="s">
        <v>202</v>
      </c>
      <c r="E376" s="9" t="s">
        <v>528</v>
      </c>
      <c r="F376" s="8">
        <v>42863</v>
      </c>
    </row>
    <row r="377" spans="1:16384" x14ac:dyDescent="0.3">
      <c r="A377" s="5">
        <v>434654</v>
      </c>
      <c r="B377" s="6" t="s">
        <v>642</v>
      </c>
      <c r="C377" s="26">
        <v>9322214012763</v>
      </c>
      <c r="D377" s="5" t="s">
        <v>202</v>
      </c>
      <c r="E377" s="6" t="s">
        <v>5</v>
      </c>
      <c r="F377" s="8">
        <v>42858</v>
      </c>
    </row>
    <row r="378" spans="1:16384" ht="27.95" x14ac:dyDescent="0.3">
      <c r="A378" s="5" t="str">
        <f>"0419671"</f>
        <v>0419671</v>
      </c>
      <c r="B378" s="6" t="s">
        <v>199</v>
      </c>
      <c r="C378" s="26" t="str">
        <f>"628669010033"</f>
        <v>628669010033</v>
      </c>
      <c r="D378" s="5" t="s">
        <v>25</v>
      </c>
      <c r="E378" s="9" t="s">
        <v>532</v>
      </c>
      <c r="F378" s="8">
        <v>42856</v>
      </c>
      <c r="ET378">
        <v>1</v>
      </c>
      <c r="EU378" t="s">
        <v>531</v>
      </c>
      <c r="EV378" t="str">
        <f>"628669010033"</f>
        <v>628669010033</v>
      </c>
      <c r="EW378" t="str">
        <f>"0419671"</f>
        <v>0419671</v>
      </c>
      <c r="EX378" t="s">
        <v>199</v>
      </c>
      <c r="EY378" t="s">
        <v>25</v>
      </c>
      <c r="EZ378">
        <v>24</v>
      </c>
      <c r="FA378">
        <v>0.05</v>
      </c>
      <c r="FB378">
        <v>1</v>
      </c>
      <c r="FC378" t="s">
        <v>531</v>
      </c>
      <c r="FD378" t="str">
        <f>"628669010033"</f>
        <v>628669010033</v>
      </c>
      <c r="FE378" t="str">
        <f>"0419671"</f>
        <v>0419671</v>
      </c>
      <c r="FF378" t="s">
        <v>199</v>
      </c>
      <c r="FG378" t="s">
        <v>25</v>
      </c>
      <c r="FH378">
        <v>24</v>
      </c>
      <c r="FI378">
        <v>0.05</v>
      </c>
      <c r="FJ378">
        <v>1</v>
      </c>
      <c r="FK378" t="s">
        <v>531</v>
      </c>
      <c r="FL378" t="str">
        <f>"628669010033"</f>
        <v>628669010033</v>
      </c>
      <c r="FM378" t="str">
        <f>"0419671"</f>
        <v>0419671</v>
      </c>
      <c r="FN378" t="s">
        <v>199</v>
      </c>
      <c r="FO378" t="s">
        <v>25</v>
      </c>
      <c r="FP378">
        <v>24</v>
      </c>
      <c r="FQ378">
        <v>0.05</v>
      </c>
      <c r="FR378">
        <v>1</v>
      </c>
      <c r="FS378" t="s">
        <v>531</v>
      </c>
      <c r="FT378" t="str">
        <f>"628669010033"</f>
        <v>628669010033</v>
      </c>
      <c r="FU378" t="str">
        <f>"0419671"</f>
        <v>0419671</v>
      </c>
      <c r="FV378" t="s">
        <v>199</v>
      </c>
      <c r="FW378" t="s">
        <v>25</v>
      </c>
      <c r="FX378">
        <v>24</v>
      </c>
      <c r="FY378">
        <v>0.05</v>
      </c>
      <c r="FZ378">
        <v>1</v>
      </c>
      <c r="GA378" t="s">
        <v>531</v>
      </c>
      <c r="GB378" t="str">
        <f>"628669010033"</f>
        <v>628669010033</v>
      </c>
      <c r="GC378" t="str">
        <f>"0419671"</f>
        <v>0419671</v>
      </c>
      <c r="GD378" t="s">
        <v>199</v>
      </c>
      <c r="GE378" t="s">
        <v>25</v>
      </c>
      <c r="GF378">
        <v>24</v>
      </c>
      <c r="GG378">
        <v>0.05</v>
      </c>
      <c r="GH378">
        <v>1</v>
      </c>
      <c r="GI378" t="s">
        <v>531</v>
      </c>
      <c r="GJ378" t="str">
        <f>"628669010033"</f>
        <v>628669010033</v>
      </c>
      <c r="GK378" t="str">
        <f>"0419671"</f>
        <v>0419671</v>
      </c>
      <c r="GL378" t="s">
        <v>199</v>
      </c>
      <c r="GM378" t="s">
        <v>25</v>
      </c>
      <c r="GN378">
        <v>24</v>
      </c>
      <c r="GO378">
        <v>0.05</v>
      </c>
      <c r="GP378">
        <v>1</v>
      </c>
      <c r="GQ378" t="s">
        <v>531</v>
      </c>
      <c r="GR378" t="str">
        <f>"628669010033"</f>
        <v>628669010033</v>
      </c>
      <c r="GS378" t="str">
        <f>"0419671"</f>
        <v>0419671</v>
      </c>
      <c r="GT378" t="s">
        <v>199</v>
      </c>
      <c r="GU378" t="s">
        <v>25</v>
      </c>
      <c r="GV378">
        <v>24</v>
      </c>
      <c r="GW378">
        <v>0.05</v>
      </c>
      <c r="GX378">
        <v>1</v>
      </c>
      <c r="GY378" t="s">
        <v>531</v>
      </c>
      <c r="GZ378" t="str">
        <f>"628669010033"</f>
        <v>628669010033</v>
      </c>
      <c r="HA378" t="str">
        <f>"0419671"</f>
        <v>0419671</v>
      </c>
      <c r="HB378" t="s">
        <v>199</v>
      </c>
      <c r="HC378" t="s">
        <v>25</v>
      </c>
      <c r="HD378">
        <v>24</v>
      </c>
      <c r="HE378">
        <v>0.05</v>
      </c>
      <c r="HF378">
        <v>1</v>
      </c>
      <c r="HG378" t="s">
        <v>531</v>
      </c>
      <c r="HH378" t="str">
        <f>"628669010033"</f>
        <v>628669010033</v>
      </c>
      <c r="HI378" t="str">
        <f>"0419671"</f>
        <v>0419671</v>
      </c>
      <c r="HJ378" t="s">
        <v>199</v>
      </c>
      <c r="HK378" t="s">
        <v>25</v>
      </c>
      <c r="HL378">
        <v>24</v>
      </c>
      <c r="HM378">
        <v>0.05</v>
      </c>
      <c r="HN378">
        <v>1</v>
      </c>
      <c r="HO378" t="s">
        <v>531</v>
      </c>
      <c r="HP378" t="str">
        <f>"628669010033"</f>
        <v>628669010033</v>
      </c>
      <c r="HQ378" t="str">
        <f>"0419671"</f>
        <v>0419671</v>
      </c>
      <c r="HR378" t="s">
        <v>199</v>
      </c>
      <c r="HS378" t="s">
        <v>25</v>
      </c>
      <c r="HT378">
        <v>24</v>
      </c>
      <c r="HU378">
        <v>0.05</v>
      </c>
      <c r="HV378">
        <v>1</v>
      </c>
      <c r="HW378" t="s">
        <v>531</v>
      </c>
      <c r="HX378" t="str">
        <f>"628669010033"</f>
        <v>628669010033</v>
      </c>
      <c r="HY378" t="str">
        <f>"0419671"</f>
        <v>0419671</v>
      </c>
      <c r="HZ378" t="s">
        <v>199</v>
      </c>
      <c r="IA378" t="s">
        <v>25</v>
      </c>
      <c r="IB378">
        <v>24</v>
      </c>
      <c r="IC378">
        <v>0.05</v>
      </c>
      <c r="ID378">
        <v>1</v>
      </c>
      <c r="IE378" t="s">
        <v>531</v>
      </c>
      <c r="IF378" t="str">
        <f>"628669010033"</f>
        <v>628669010033</v>
      </c>
      <c r="IG378" t="str">
        <f>"0419671"</f>
        <v>0419671</v>
      </c>
      <c r="IH378" t="s">
        <v>199</v>
      </c>
      <c r="II378" t="s">
        <v>25</v>
      </c>
      <c r="IJ378">
        <v>24</v>
      </c>
      <c r="IK378">
        <v>0.05</v>
      </c>
      <c r="IL378">
        <v>1</v>
      </c>
      <c r="IM378" t="s">
        <v>531</v>
      </c>
      <c r="IN378" t="str">
        <f>"628669010033"</f>
        <v>628669010033</v>
      </c>
      <c r="IO378" t="str">
        <f>"0419671"</f>
        <v>0419671</v>
      </c>
      <c r="IP378" t="s">
        <v>199</v>
      </c>
      <c r="IQ378" t="s">
        <v>25</v>
      </c>
      <c r="IR378">
        <v>24</v>
      </c>
      <c r="IS378">
        <v>0.05</v>
      </c>
      <c r="IT378">
        <v>1</v>
      </c>
      <c r="IU378" t="s">
        <v>531</v>
      </c>
      <c r="IV378" t="str">
        <f>"628669010033"</f>
        <v>628669010033</v>
      </c>
      <c r="IW378" t="str">
        <f>"0419671"</f>
        <v>0419671</v>
      </c>
      <c r="IX378" t="s">
        <v>199</v>
      </c>
      <c r="IY378" t="s">
        <v>25</v>
      </c>
      <c r="IZ378">
        <v>24</v>
      </c>
      <c r="JA378">
        <v>0.05</v>
      </c>
      <c r="JB378">
        <v>1</v>
      </c>
      <c r="JC378" t="s">
        <v>531</v>
      </c>
      <c r="JD378" t="str">
        <f>"628669010033"</f>
        <v>628669010033</v>
      </c>
      <c r="JE378" t="str">
        <f>"0419671"</f>
        <v>0419671</v>
      </c>
      <c r="JF378" t="s">
        <v>199</v>
      </c>
      <c r="JG378" t="s">
        <v>25</v>
      </c>
      <c r="JH378">
        <v>24</v>
      </c>
      <c r="JI378">
        <v>0.05</v>
      </c>
      <c r="JJ378">
        <v>1</v>
      </c>
      <c r="JK378" t="s">
        <v>531</v>
      </c>
      <c r="JL378" t="str">
        <f>"628669010033"</f>
        <v>628669010033</v>
      </c>
      <c r="JM378" t="str">
        <f>"0419671"</f>
        <v>0419671</v>
      </c>
      <c r="JN378" t="s">
        <v>199</v>
      </c>
      <c r="JO378" t="s">
        <v>25</v>
      </c>
      <c r="JP378">
        <v>24</v>
      </c>
      <c r="JQ378">
        <v>0.05</v>
      </c>
      <c r="JR378">
        <v>1</v>
      </c>
      <c r="JS378" t="s">
        <v>531</v>
      </c>
      <c r="JT378" t="str">
        <f>"628669010033"</f>
        <v>628669010033</v>
      </c>
      <c r="JU378" t="str">
        <f>"0419671"</f>
        <v>0419671</v>
      </c>
      <c r="JV378" t="s">
        <v>199</v>
      </c>
      <c r="JW378" t="s">
        <v>25</v>
      </c>
      <c r="JX378">
        <v>24</v>
      </c>
      <c r="JY378">
        <v>0.05</v>
      </c>
      <c r="JZ378">
        <v>1</v>
      </c>
      <c r="KA378" t="s">
        <v>531</v>
      </c>
      <c r="KB378" t="str">
        <f>"628669010033"</f>
        <v>628669010033</v>
      </c>
      <c r="KC378" t="str">
        <f>"0419671"</f>
        <v>0419671</v>
      </c>
      <c r="KD378" t="s">
        <v>199</v>
      </c>
      <c r="KE378" t="s">
        <v>25</v>
      </c>
      <c r="KF378">
        <v>24</v>
      </c>
      <c r="KG378">
        <v>0.05</v>
      </c>
      <c r="KH378">
        <v>1</v>
      </c>
      <c r="KI378" t="s">
        <v>531</v>
      </c>
      <c r="KJ378" t="str">
        <f>"628669010033"</f>
        <v>628669010033</v>
      </c>
      <c r="KK378" t="str">
        <f>"0419671"</f>
        <v>0419671</v>
      </c>
      <c r="KL378" t="s">
        <v>199</v>
      </c>
      <c r="KM378" t="s">
        <v>25</v>
      </c>
      <c r="KN378">
        <v>24</v>
      </c>
      <c r="KO378">
        <v>0.05</v>
      </c>
      <c r="KP378">
        <v>1</v>
      </c>
      <c r="KQ378" t="s">
        <v>531</v>
      </c>
      <c r="KR378" t="str">
        <f>"628669010033"</f>
        <v>628669010033</v>
      </c>
      <c r="KS378" t="str">
        <f>"0419671"</f>
        <v>0419671</v>
      </c>
      <c r="KT378" t="s">
        <v>199</v>
      </c>
      <c r="KU378" t="s">
        <v>25</v>
      </c>
      <c r="KV378">
        <v>24</v>
      </c>
      <c r="KW378">
        <v>0.05</v>
      </c>
      <c r="KX378">
        <v>1</v>
      </c>
      <c r="KY378" t="s">
        <v>531</v>
      </c>
      <c r="KZ378" t="str">
        <f>"628669010033"</f>
        <v>628669010033</v>
      </c>
      <c r="LA378" t="str">
        <f>"0419671"</f>
        <v>0419671</v>
      </c>
      <c r="LB378" t="s">
        <v>199</v>
      </c>
      <c r="LC378" t="s">
        <v>25</v>
      </c>
      <c r="LD378">
        <v>24</v>
      </c>
      <c r="LE378">
        <v>0.05</v>
      </c>
      <c r="LF378">
        <v>1</v>
      </c>
      <c r="LG378" t="s">
        <v>531</v>
      </c>
      <c r="LH378" t="str">
        <f>"628669010033"</f>
        <v>628669010033</v>
      </c>
      <c r="LI378" t="str">
        <f>"0419671"</f>
        <v>0419671</v>
      </c>
      <c r="LJ378" t="s">
        <v>199</v>
      </c>
      <c r="LK378" t="s">
        <v>25</v>
      </c>
      <c r="LL378">
        <v>24</v>
      </c>
      <c r="LM378">
        <v>0.05</v>
      </c>
      <c r="LN378">
        <v>1</v>
      </c>
      <c r="LO378" t="s">
        <v>531</v>
      </c>
      <c r="LP378" t="str">
        <f>"628669010033"</f>
        <v>628669010033</v>
      </c>
      <c r="LQ378" t="str">
        <f>"0419671"</f>
        <v>0419671</v>
      </c>
      <c r="LR378" t="s">
        <v>199</v>
      </c>
      <c r="LS378" t="s">
        <v>25</v>
      </c>
      <c r="LT378">
        <v>24</v>
      </c>
      <c r="LU378">
        <v>0.05</v>
      </c>
      <c r="LV378">
        <v>1</v>
      </c>
      <c r="LW378" t="s">
        <v>531</v>
      </c>
      <c r="LX378" t="str">
        <f>"628669010033"</f>
        <v>628669010033</v>
      </c>
      <c r="LY378" t="str">
        <f>"0419671"</f>
        <v>0419671</v>
      </c>
      <c r="LZ378" t="s">
        <v>199</v>
      </c>
      <c r="MA378" t="s">
        <v>25</v>
      </c>
      <c r="MB378">
        <v>24</v>
      </c>
      <c r="MC378">
        <v>0.05</v>
      </c>
      <c r="MD378">
        <v>1</v>
      </c>
      <c r="ME378" t="s">
        <v>531</v>
      </c>
      <c r="MF378" t="str">
        <f>"628669010033"</f>
        <v>628669010033</v>
      </c>
      <c r="MG378" t="str">
        <f>"0419671"</f>
        <v>0419671</v>
      </c>
      <c r="MH378" t="s">
        <v>199</v>
      </c>
      <c r="MI378" t="s">
        <v>25</v>
      </c>
      <c r="MJ378">
        <v>24</v>
      </c>
      <c r="MK378">
        <v>0.05</v>
      </c>
      <c r="ML378">
        <v>1</v>
      </c>
      <c r="MM378" t="s">
        <v>531</v>
      </c>
      <c r="MN378" t="str">
        <f>"628669010033"</f>
        <v>628669010033</v>
      </c>
      <c r="MO378" t="str">
        <f>"0419671"</f>
        <v>0419671</v>
      </c>
      <c r="MP378" t="s">
        <v>199</v>
      </c>
      <c r="MQ378" t="s">
        <v>25</v>
      </c>
      <c r="MR378">
        <v>24</v>
      </c>
      <c r="MS378">
        <v>0.05</v>
      </c>
      <c r="MT378">
        <v>1</v>
      </c>
      <c r="MU378" t="s">
        <v>531</v>
      </c>
      <c r="MV378" t="str">
        <f>"628669010033"</f>
        <v>628669010033</v>
      </c>
      <c r="MW378" t="str">
        <f>"0419671"</f>
        <v>0419671</v>
      </c>
      <c r="MX378" t="s">
        <v>199</v>
      </c>
      <c r="MY378" t="s">
        <v>25</v>
      </c>
      <c r="MZ378">
        <v>24</v>
      </c>
      <c r="NA378">
        <v>0.05</v>
      </c>
      <c r="NB378">
        <v>1</v>
      </c>
      <c r="NC378" t="s">
        <v>531</v>
      </c>
      <c r="ND378" t="str">
        <f>"628669010033"</f>
        <v>628669010033</v>
      </c>
      <c r="NE378" t="str">
        <f>"0419671"</f>
        <v>0419671</v>
      </c>
      <c r="NF378" t="s">
        <v>199</v>
      </c>
      <c r="NG378" t="s">
        <v>25</v>
      </c>
      <c r="NH378">
        <v>24</v>
      </c>
      <c r="NI378">
        <v>0.05</v>
      </c>
      <c r="NJ378">
        <v>1</v>
      </c>
      <c r="NK378" t="s">
        <v>531</v>
      </c>
      <c r="NL378" t="str">
        <f>"628669010033"</f>
        <v>628669010033</v>
      </c>
      <c r="NM378" t="str">
        <f>"0419671"</f>
        <v>0419671</v>
      </c>
      <c r="NN378" t="s">
        <v>199</v>
      </c>
      <c r="NO378" t="s">
        <v>25</v>
      </c>
      <c r="NP378">
        <v>24</v>
      </c>
      <c r="NQ378">
        <v>0.05</v>
      </c>
      <c r="NR378">
        <v>1</v>
      </c>
      <c r="NS378" t="s">
        <v>531</v>
      </c>
      <c r="NT378" t="str">
        <f>"628669010033"</f>
        <v>628669010033</v>
      </c>
      <c r="NU378" t="str">
        <f>"0419671"</f>
        <v>0419671</v>
      </c>
      <c r="NV378" t="s">
        <v>199</v>
      </c>
      <c r="NW378" t="s">
        <v>25</v>
      </c>
      <c r="NX378">
        <v>24</v>
      </c>
      <c r="NY378">
        <v>0.05</v>
      </c>
      <c r="NZ378">
        <v>1</v>
      </c>
      <c r="OA378" t="s">
        <v>531</v>
      </c>
      <c r="OB378" t="str">
        <f>"628669010033"</f>
        <v>628669010033</v>
      </c>
      <c r="OC378" t="str">
        <f>"0419671"</f>
        <v>0419671</v>
      </c>
      <c r="OD378" t="s">
        <v>199</v>
      </c>
      <c r="OE378" t="s">
        <v>25</v>
      </c>
      <c r="OF378">
        <v>24</v>
      </c>
      <c r="OG378">
        <v>0.05</v>
      </c>
      <c r="OH378">
        <v>1</v>
      </c>
      <c r="OI378" t="s">
        <v>531</v>
      </c>
      <c r="OJ378" t="str">
        <f>"628669010033"</f>
        <v>628669010033</v>
      </c>
      <c r="OK378" t="str">
        <f>"0419671"</f>
        <v>0419671</v>
      </c>
      <c r="OL378" t="s">
        <v>199</v>
      </c>
      <c r="OM378" t="s">
        <v>25</v>
      </c>
      <c r="ON378">
        <v>24</v>
      </c>
      <c r="OO378">
        <v>0.05</v>
      </c>
      <c r="OP378">
        <v>1</v>
      </c>
      <c r="OQ378" t="s">
        <v>531</v>
      </c>
      <c r="OR378" t="str">
        <f>"628669010033"</f>
        <v>628669010033</v>
      </c>
      <c r="OS378" t="str">
        <f>"0419671"</f>
        <v>0419671</v>
      </c>
      <c r="OT378" t="s">
        <v>199</v>
      </c>
      <c r="OU378" t="s">
        <v>25</v>
      </c>
      <c r="OV378">
        <v>24</v>
      </c>
      <c r="OW378">
        <v>0.05</v>
      </c>
      <c r="OX378">
        <v>1</v>
      </c>
      <c r="OY378" t="s">
        <v>531</v>
      </c>
      <c r="OZ378" t="str">
        <f>"628669010033"</f>
        <v>628669010033</v>
      </c>
      <c r="PA378" t="str">
        <f>"0419671"</f>
        <v>0419671</v>
      </c>
      <c r="PB378" t="s">
        <v>199</v>
      </c>
      <c r="PC378" t="s">
        <v>25</v>
      </c>
      <c r="PD378">
        <v>24</v>
      </c>
      <c r="PE378">
        <v>0.05</v>
      </c>
      <c r="PF378">
        <v>1</v>
      </c>
      <c r="PG378" t="s">
        <v>531</v>
      </c>
      <c r="PH378" t="str">
        <f>"628669010033"</f>
        <v>628669010033</v>
      </c>
      <c r="PI378" t="str">
        <f>"0419671"</f>
        <v>0419671</v>
      </c>
      <c r="PJ378" t="s">
        <v>199</v>
      </c>
      <c r="PK378" t="s">
        <v>25</v>
      </c>
      <c r="PL378">
        <v>24</v>
      </c>
      <c r="PM378">
        <v>0.05</v>
      </c>
      <c r="PN378">
        <v>1</v>
      </c>
      <c r="PO378" t="s">
        <v>531</v>
      </c>
      <c r="PP378" t="str">
        <f>"628669010033"</f>
        <v>628669010033</v>
      </c>
      <c r="PQ378" t="str">
        <f>"0419671"</f>
        <v>0419671</v>
      </c>
      <c r="PR378" t="s">
        <v>199</v>
      </c>
      <c r="PS378" t="s">
        <v>25</v>
      </c>
      <c r="PT378">
        <v>24</v>
      </c>
      <c r="PU378">
        <v>0.05</v>
      </c>
      <c r="PV378">
        <v>1</v>
      </c>
      <c r="PW378" t="s">
        <v>531</v>
      </c>
      <c r="PX378" t="str">
        <f>"628669010033"</f>
        <v>628669010033</v>
      </c>
      <c r="PY378" t="str">
        <f>"0419671"</f>
        <v>0419671</v>
      </c>
      <c r="PZ378" t="s">
        <v>199</v>
      </c>
      <c r="QA378" t="s">
        <v>25</v>
      </c>
      <c r="QB378">
        <v>24</v>
      </c>
      <c r="QC378">
        <v>0.05</v>
      </c>
      <c r="QD378">
        <v>1</v>
      </c>
      <c r="QE378" t="s">
        <v>531</v>
      </c>
      <c r="QF378" t="str">
        <f>"628669010033"</f>
        <v>628669010033</v>
      </c>
      <c r="QG378" t="str">
        <f>"0419671"</f>
        <v>0419671</v>
      </c>
      <c r="QH378" t="s">
        <v>199</v>
      </c>
      <c r="QI378" t="s">
        <v>25</v>
      </c>
      <c r="QJ378">
        <v>24</v>
      </c>
      <c r="QK378">
        <v>0.05</v>
      </c>
      <c r="QL378">
        <v>1</v>
      </c>
      <c r="QM378" t="s">
        <v>531</v>
      </c>
      <c r="QN378" t="str">
        <f>"628669010033"</f>
        <v>628669010033</v>
      </c>
      <c r="QO378" t="str">
        <f>"0419671"</f>
        <v>0419671</v>
      </c>
      <c r="QP378" t="s">
        <v>199</v>
      </c>
      <c r="QQ378" t="s">
        <v>25</v>
      </c>
      <c r="QR378">
        <v>24</v>
      </c>
      <c r="QS378">
        <v>0.05</v>
      </c>
      <c r="QT378">
        <v>1</v>
      </c>
      <c r="QU378" t="s">
        <v>531</v>
      </c>
      <c r="QV378" t="str">
        <f>"628669010033"</f>
        <v>628669010033</v>
      </c>
      <c r="QW378" t="str">
        <f>"0419671"</f>
        <v>0419671</v>
      </c>
      <c r="QX378" t="s">
        <v>199</v>
      </c>
      <c r="QY378" t="s">
        <v>25</v>
      </c>
      <c r="QZ378">
        <v>24</v>
      </c>
      <c r="RA378">
        <v>0.05</v>
      </c>
      <c r="RB378">
        <v>1</v>
      </c>
      <c r="RC378" t="s">
        <v>531</v>
      </c>
      <c r="RD378" t="str">
        <f>"628669010033"</f>
        <v>628669010033</v>
      </c>
      <c r="RE378" t="str">
        <f>"0419671"</f>
        <v>0419671</v>
      </c>
      <c r="RF378" t="s">
        <v>199</v>
      </c>
      <c r="RG378" t="s">
        <v>25</v>
      </c>
      <c r="RH378">
        <v>24</v>
      </c>
      <c r="RI378">
        <v>0.05</v>
      </c>
      <c r="RJ378">
        <v>1</v>
      </c>
      <c r="RK378" t="s">
        <v>531</v>
      </c>
      <c r="RL378" t="str">
        <f>"628669010033"</f>
        <v>628669010033</v>
      </c>
      <c r="RM378" t="str">
        <f>"0419671"</f>
        <v>0419671</v>
      </c>
      <c r="RN378" t="s">
        <v>199</v>
      </c>
      <c r="RO378" t="s">
        <v>25</v>
      </c>
      <c r="RP378">
        <v>24</v>
      </c>
      <c r="RQ378">
        <v>0.05</v>
      </c>
      <c r="RR378">
        <v>1</v>
      </c>
      <c r="RS378" t="s">
        <v>531</v>
      </c>
      <c r="RT378" t="str">
        <f>"628669010033"</f>
        <v>628669010033</v>
      </c>
      <c r="RU378" t="str">
        <f>"0419671"</f>
        <v>0419671</v>
      </c>
      <c r="RV378" t="s">
        <v>199</v>
      </c>
      <c r="RW378" t="s">
        <v>25</v>
      </c>
      <c r="RX378">
        <v>24</v>
      </c>
      <c r="RY378">
        <v>0.05</v>
      </c>
      <c r="RZ378">
        <v>1</v>
      </c>
      <c r="SA378" t="s">
        <v>531</v>
      </c>
      <c r="SB378" t="str">
        <f>"628669010033"</f>
        <v>628669010033</v>
      </c>
      <c r="SC378" t="str">
        <f>"0419671"</f>
        <v>0419671</v>
      </c>
      <c r="SD378" t="s">
        <v>199</v>
      </c>
      <c r="SE378" t="s">
        <v>25</v>
      </c>
      <c r="SF378">
        <v>24</v>
      </c>
      <c r="SG378">
        <v>0.05</v>
      </c>
      <c r="SH378">
        <v>1</v>
      </c>
      <c r="SI378" t="s">
        <v>531</v>
      </c>
      <c r="SJ378" t="str">
        <f>"628669010033"</f>
        <v>628669010033</v>
      </c>
      <c r="SK378" t="str">
        <f>"0419671"</f>
        <v>0419671</v>
      </c>
      <c r="SL378" t="s">
        <v>199</v>
      </c>
      <c r="SM378" t="s">
        <v>25</v>
      </c>
      <c r="SN378">
        <v>24</v>
      </c>
      <c r="SO378">
        <v>0.05</v>
      </c>
      <c r="SP378">
        <v>1</v>
      </c>
      <c r="SQ378" t="s">
        <v>531</v>
      </c>
      <c r="SR378" t="str">
        <f>"628669010033"</f>
        <v>628669010033</v>
      </c>
      <c r="SS378" t="str">
        <f>"0419671"</f>
        <v>0419671</v>
      </c>
      <c r="ST378" t="s">
        <v>199</v>
      </c>
      <c r="SU378" t="s">
        <v>25</v>
      </c>
      <c r="SV378">
        <v>24</v>
      </c>
      <c r="SW378">
        <v>0.05</v>
      </c>
      <c r="SX378">
        <v>1</v>
      </c>
      <c r="SY378" t="s">
        <v>531</v>
      </c>
      <c r="SZ378" t="str">
        <f>"628669010033"</f>
        <v>628669010033</v>
      </c>
      <c r="TA378" t="str">
        <f>"0419671"</f>
        <v>0419671</v>
      </c>
      <c r="TB378" t="s">
        <v>199</v>
      </c>
      <c r="TC378" t="s">
        <v>25</v>
      </c>
      <c r="TD378">
        <v>24</v>
      </c>
      <c r="TE378">
        <v>0.05</v>
      </c>
      <c r="TF378">
        <v>1</v>
      </c>
      <c r="TG378" t="s">
        <v>531</v>
      </c>
      <c r="TH378" t="str">
        <f>"628669010033"</f>
        <v>628669010033</v>
      </c>
      <c r="TI378" t="str">
        <f>"0419671"</f>
        <v>0419671</v>
      </c>
      <c r="TJ378" t="s">
        <v>199</v>
      </c>
      <c r="TK378" t="s">
        <v>25</v>
      </c>
      <c r="TL378">
        <v>24</v>
      </c>
      <c r="TM378">
        <v>0.05</v>
      </c>
      <c r="TN378">
        <v>1</v>
      </c>
      <c r="TO378" t="s">
        <v>531</v>
      </c>
      <c r="TP378" t="str">
        <f>"628669010033"</f>
        <v>628669010033</v>
      </c>
      <c r="TQ378" t="str">
        <f>"0419671"</f>
        <v>0419671</v>
      </c>
      <c r="TR378" t="s">
        <v>199</v>
      </c>
      <c r="TS378" t="s">
        <v>25</v>
      </c>
      <c r="TT378">
        <v>24</v>
      </c>
      <c r="TU378">
        <v>0.05</v>
      </c>
      <c r="TV378">
        <v>1</v>
      </c>
      <c r="TW378" t="s">
        <v>531</v>
      </c>
      <c r="TX378" t="str">
        <f>"628669010033"</f>
        <v>628669010033</v>
      </c>
      <c r="TY378" t="str">
        <f>"0419671"</f>
        <v>0419671</v>
      </c>
      <c r="TZ378" t="s">
        <v>199</v>
      </c>
      <c r="UA378" t="s">
        <v>25</v>
      </c>
      <c r="UB378">
        <v>24</v>
      </c>
      <c r="UC378">
        <v>0.05</v>
      </c>
      <c r="UD378">
        <v>1</v>
      </c>
      <c r="UE378" t="s">
        <v>531</v>
      </c>
      <c r="UF378" t="str">
        <f>"628669010033"</f>
        <v>628669010033</v>
      </c>
      <c r="UG378" t="str">
        <f>"0419671"</f>
        <v>0419671</v>
      </c>
      <c r="UH378" t="s">
        <v>199</v>
      </c>
      <c r="UI378" t="s">
        <v>25</v>
      </c>
      <c r="UJ378">
        <v>24</v>
      </c>
      <c r="UK378">
        <v>0.05</v>
      </c>
      <c r="UL378">
        <v>1</v>
      </c>
      <c r="UM378" t="s">
        <v>531</v>
      </c>
      <c r="UN378" t="str">
        <f>"628669010033"</f>
        <v>628669010033</v>
      </c>
      <c r="UO378" t="str">
        <f>"0419671"</f>
        <v>0419671</v>
      </c>
      <c r="UP378" t="s">
        <v>199</v>
      </c>
      <c r="UQ378" t="s">
        <v>25</v>
      </c>
      <c r="UR378">
        <v>24</v>
      </c>
      <c r="US378">
        <v>0.05</v>
      </c>
      <c r="UT378">
        <v>1</v>
      </c>
      <c r="UU378" t="s">
        <v>531</v>
      </c>
      <c r="UV378" t="str">
        <f>"628669010033"</f>
        <v>628669010033</v>
      </c>
      <c r="UW378" t="str">
        <f>"0419671"</f>
        <v>0419671</v>
      </c>
      <c r="UX378" t="s">
        <v>199</v>
      </c>
      <c r="UY378" t="s">
        <v>25</v>
      </c>
      <c r="UZ378">
        <v>24</v>
      </c>
      <c r="VA378">
        <v>0.05</v>
      </c>
      <c r="VB378">
        <v>1</v>
      </c>
      <c r="VC378" t="s">
        <v>531</v>
      </c>
      <c r="VD378" t="str">
        <f>"628669010033"</f>
        <v>628669010033</v>
      </c>
      <c r="VE378" t="str">
        <f>"0419671"</f>
        <v>0419671</v>
      </c>
      <c r="VF378" t="s">
        <v>199</v>
      </c>
      <c r="VG378" t="s">
        <v>25</v>
      </c>
      <c r="VH378">
        <v>24</v>
      </c>
      <c r="VI378">
        <v>0.05</v>
      </c>
      <c r="VJ378">
        <v>1</v>
      </c>
      <c r="VK378" t="s">
        <v>531</v>
      </c>
      <c r="VL378" t="str">
        <f>"628669010033"</f>
        <v>628669010033</v>
      </c>
      <c r="VM378" t="str">
        <f>"0419671"</f>
        <v>0419671</v>
      </c>
      <c r="VN378" t="s">
        <v>199</v>
      </c>
      <c r="VO378" t="s">
        <v>25</v>
      </c>
      <c r="VP378">
        <v>24</v>
      </c>
      <c r="VQ378">
        <v>0.05</v>
      </c>
      <c r="VR378">
        <v>1</v>
      </c>
      <c r="VS378" t="s">
        <v>531</v>
      </c>
      <c r="VT378" t="str">
        <f>"628669010033"</f>
        <v>628669010033</v>
      </c>
      <c r="VU378" t="str">
        <f>"0419671"</f>
        <v>0419671</v>
      </c>
      <c r="VV378" t="s">
        <v>199</v>
      </c>
      <c r="VW378" t="s">
        <v>25</v>
      </c>
      <c r="VX378">
        <v>24</v>
      </c>
      <c r="VY378">
        <v>0.05</v>
      </c>
      <c r="VZ378">
        <v>1</v>
      </c>
      <c r="WA378" t="s">
        <v>531</v>
      </c>
      <c r="WB378" t="str">
        <f>"628669010033"</f>
        <v>628669010033</v>
      </c>
      <c r="WC378" t="str">
        <f>"0419671"</f>
        <v>0419671</v>
      </c>
      <c r="WD378" t="s">
        <v>199</v>
      </c>
      <c r="WE378" t="s">
        <v>25</v>
      </c>
      <c r="WF378">
        <v>24</v>
      </c>
      <c r="WG378">
        <v>0.05</v>
      </c>
      <c r="WH378">
        <v>1</v>
      </c>
      <c r="WI378" t="s">
        <v>531</v>
      </c>
      <c r="WJ378" t="str">
        <f>"628669010033"</f>
        <v>628669010033</v>
      </c>
      <c r="WK378" t="str">
        <f>"0419671"</f>
        <v>0419671</v>
      </c>
      <c r="WL378" t="s">
        <v>199</v>
      </c>
      <c r="WM378" t="s">
        <v>25</v>
      </c>
      <c r="WN378">
        <v>24</v>
      </c>
      <c r="WO378">
        <v>0.05</v>
      </c>
      <c r="WP378">
        <v>1</v>
      </c>
      <c r="WQ378" t="s">
        <v>531</v>
      </c>
      <c r="WR378" t="str">
        <f>"628669010033"</f>
        <v>628669010033</v>
      </c>
      <c r="WS378" t="str">
        <f>"0419671"</f>
        <v>0419671</v>
      </c>
      <c r="WT378" t="s">
        <v>199</v>
      </c>
      <c r="WU378" t="s">
        <v>25</v>
      </c>
      <c r="WV378">
        <v>24</v>
      </c>
      <c r="WW378">
        <v>0.05</v>
      </c>
      <c r="WX378">
        <v>1</v>
      </c>
      <c r="WY378" t="s">
        <v>531</v>
      </c>
      <c r="WZ378" t="str">
        <f>"628669010033"</f>
        <v>628669010033</v>
      </c>
      <c r="XA378" t="str">
        <f>"0419671"</f>
        <v>0419671</v>
      </c>
      <c r="XB378" t="s">
        <v>199</v>
      </c>
      <c r="XC378" t="s">
        <v>25</v>
      </c>
      <c r="XD378">
        <v>24</v>
      </c>
      <c r="XE378">
        <v>0.05</v>
      </c>
      <c r="XF378">
        <v>1</v>
      </c>
      <c r="XG378" t="s">
        <v>531</v>
      </c>
      <c r="XH378" t="str">
        <f>"628669010033"</f>
        <v>628669010033</v>
      </c>
      <c r="XI378" t="str">
        <f>"0419671"</f>
        <v>0419671</v>
      </c>
      <c r="XJ378" t="s">
        <v>199</v>
      </c>
      <c r="XK378" t="s">
        <v>25</v>
      </c>
      <c r="XL378">
        <v>24</v>
      </c>
      <c r="XM378">
        <v>0.05</v>
      </c>
      <c r="XN378">
        <v>1</v>
      </c>
      <c r="XO378" t="s">
        <v>531</v>
      </c>
      <c r="XP378" t="str">
        <f>"628669010033"</f>
        <v>628669010033</v>
      </c>
      <c r="XQ378" t="str">
        <f>"0419671"</f>
        <v>0419671</v>
      </c>
      <c r="XR378" t="s">
        <v>199</v>
      </c>
      <c r="XS378" t="s">
        <v>25</v>
      </c>
      <c r="XT378">
        <v>24</v>
      </c>
      <c r="XU378">
        <v>0.05</v>
      </c>
      <c r="XV378">
        <v>1</v>
      </c>
      <c r="XW378" t="s">
        <v>531</v>
      </c>
      <c r="XX378" t="str">
        <f>"628669010033"</f>
        <v>628669010033</v>
      </c>
      <c r="XY378" t="str">
        <f>"0419671"</f>
        <v>0419671</v>
      </c>
      <c r="XZ378" t="s">
        <v>199</v>
      </c>
      <c r="YA378" t="s">
        <v>25</v>
      </c>
      <c r="YB378">
        <v>24</v>
      </c>
      <c r="YC378">
        <v>0.05</v>
      </c>
      <c r="YD378">
        <v>1</v>
      </c>
      <c r="YE378" t="s">
        <v>531</v>
      </c>
      <c r="YF378" t="str">
        <f>"628669010033"</f>
        <v>628669010033</v>
      </c>
      <c r="YG378" t="str">
        <f>"0419671"</f>
        <v>0419671</v>
      </c>
      <c r="YH378" t="s">
        <v>199</v>
      </c>
      <c r="YI378" t="s">
        <v>25</v>
      </c>
      <c r="YJ378">
        <v>24</v>
      </c>
      <c r="YK378">
        <v>0.05</v>
      </c>
      <c r="YL378">
        <v>1</v>
      </c>
      <c r="YM378" t="s">
        <v>531</v>
      </c>
      <c r="YN378" t="str">
        <f>"628669010033"</f>
        <v>628669010033</v>
      </c>
      <c r="YO378" t="str">
        <f>"0419671"</f>
        <v>0419671</v>
      </c>
      <c r="YP378" t="s">
        <v>199</v>
      </c>
      <c r="YQ378" t="s">
        <v>25</v>
      </c>
      <c r="YR378">
        <v>24</v>
      </c>
      <c r="YS378">
        <v>0.05</v>
      </c>
      <c r="YT378">
        <v>1</v>
      </c>
      <c r="YU378" t="s">
        <v>531</v>
      </c>
      <c r="YV378" t="str">
        <f>"628669010033"</f>
        <v>628669010033</v>
      </c>
      <c r="YW378" t="str">
        <f>"0419671"</f>
        <v>0419671</v>
      </c>
      <c r="YX378" t="s">
        <v>199</v>
      </c>
      <c r="YY378" t="s">
        <v>25</v>
      </c>
      <c r="YZ378">
        <v>24</v>
      </c>
      <c r="ZA378">
        <v>0.05</v>
      </c>
      <c r="ZB378">
        <v>1</v>
      </c>
      <c r="ZC378" t="s">
        <v>531</v>
      </c>
      <c r="ZD378" t="str">
        <f>"628669010033"</f>
        <v>628669010033</v>
      </c>
      <c r="ZE378" t="str">
        <f>"0419671"</f>
        <v>0419671</v>
      </c>
      <c r="ZF378" t="s">
        <v>199</v>
      </c>
      <c r="ZG378" t="s">
        <v>25</v>
      </c>
      <c r="ZH378">
        <v>24</v>
      </c>
      <c r="ZI378">
        <v>0.05</v>
      </c>
      <c r="ZJ378">
        <v>1</v>
      </c>
      <c r="ZK378" t="s">
        <v>531</v>
      </c>
      <c r="ZL378" t="str">
        <f>"628669010033"</f>
        <v>628669010033</v>
      </c>
      <c r="ZM378" t="str">
        <f>"0419671"</f>
        <v>0419671</v>
      </c>
      <c r="ZN378" t="s">
        <v>199</v>
      </c>
      <c r="ZO378" t="s">
        <v>25</v>
      </c>
      <c r="ZP378">
        <v>24</v>
      </c>
      <c r="ZQ378">
        <v>0.05</v>
      </c>
      <c r="ZR378">
        <v>1</v>
      </c>
      <c r="ZS378" t="s">
        <v>531</v>
      </c>
      <c r="ZT378" t="str">
        <f>"628669010033"</f>
        <v>628669010033</v>
      </c>
      <c r="ZU378" t="str">
        <f>"0419671"</f>
        <v>0419671</v>
      </c>
      <c r="ZV378" t="s">
        <v>199</v>
      </c>
      <c r="ZW378" t="s">
        <v>25</v>
      </c>
      <c r="ZX378">
        <v>24</v>
      </c>
      <c r="ZY378">
        <v>0.05</v>
      </c>
      <c r="ZZ378">
        <v>1</v>
      </c>
      <c r="AAA378" t="s">
        <v>531</v>
      </c>
      <c r="AAB378" t="str">
        <f>"628669010033"</f>
        <v>628669010033</v>
      </c>
      <c r="AAC378" t="str">
        <f>"0419671"</f>
        <v>0419671</v>
      </c>
      <c r="AAD378" t="s">
        <v>199</v>
      </c>
      <c r="AAE378" t="s">
        <v>25</v>
      </c>
      <c r="AAF378">
        <v>24</v>
      </c>
      <c r="AAG378">
        <v>0.05</v>
      </c>
      <c r="AAH378">
        <v>1</v>
      </c>
      <c r="AAI378" t="s">
        <v>531</v>
      </c>
      <c r="AAJ378" t="str">
        <f>"628669010033"</f>
        <v>628669010033</v>
      </c>
      <c r="AAK378" t="str">
        <f>"0419671"</f>
        <v>0419671</v>
      </c>
      <c r="AAL378" t="s">
        <v>199</v>
      </c>
      <c r="AAM378" t="s">
        <v>25</v>
      </c>
      <c r="AAN378">
        <v>24</v>
      </c>
      <c r="AAO378">
        <v>0.05</v>
      </c>
      <c r="AAP378">
        <v>1</v>
      </c>
      <c r="AAQ378" t="s">
        <v>531</v>
      </c>
      <c r="AAR378" t="str">
        <f>"628669010033"</f>
        <v>628669010033</v>
      </c>
      <c r="AAS378" t="str">
        <f>"0419671"</f>
        <v>0419671</v>
      </c>
      <c r="AAT378" t="s">
        <v>199</v>
      </c>
      <c r="AAU378" t="s">
        <v>25</v>
      </c>
      <c r="AAV378">
        <v>24</v>
      </c>
      <c r="AAW378">
        <v>0.05</v>
      </c>
      <c r="AAX378">
        <v>1</v>
      </c>
      <c r="AAY378" t="s">
        <v>531</v>
      </c>
      <c r="AAZ378" t="str">
        <f>"628669010033"</f>
        <v>628669010033</v>
      </c>
      <c r="ABA378" t="str">
        <f>"0419671"</f>
        <v>0419671</v>
      </c>
      <c r="ABB378" t="s">
        <v>199</v>
      </c>
      <c r="ABC378" t="s">
        <v>25</v>
      </c>
      <c r="ABD378">
        <v>24</v>
      </c>
      <c r="ABE378">
        <v>0.05</v>
      </c>
      <c r="ABF378">
        <v>1</v>
      </c>
      <c r="ABG378" t="s">
        <v>531</v>
      </c>
      <c r="ABH378" t="str">
        <f>"628669010033"</f>
        <v>628669010033</v>
      </c>
      <c r="ABI378" t="str">
        <f>"0419671"</f>
        <v>0419671</v>
      </c>
      <c r="ABJ378" t="s">
        <v>199</v>
      </c>
      <c r="ABK378" t="s">
        <v>25</v>
      </c>
      <c r="ABL378">
        <v>24</v>
      </c>
      <c r="ABM378">
        <v>0.05</v>
      </c>
      <c r="ABN378">
        <v>1</v>
      </c>
      <c r="ABO378" t="s">
        <v>531</v>
      </c>
      <c r="ABP378" t="str">
        <f>"628669010033"</f>
        <v>628669010033</v>
      </c>
      <c r="ABQ378" t="str">
        <f>"0419671"</f>
        <v>0419671</v>
      </c>
      <c r="ABR378" t="s">
        <v>199</v>
      </c>
      <c r="ABS378" t="s">
        <v>25</v>
      </c>
      <c r="ABT378">
        <v>24</v>
      </c>
      <c r="ABU378">
        <v>0.05</v>
      </c>
      <c r="ABV378">
        <v>1</v>
      </c>
      <c r="ABW378" t="s">
        <v>531</v>
      </c>
      <c r="ABX378" t="str">
        <f>"628669010033"</f>
        <v>628669010033</v>
      </c>
      <c r="ABY378" t="str">
        <f>"0419671"</f>
        <v>0419671</v>
      </c>
      <c r="ABZ378" t="s">
        <v>199</v>
      </c>
      <c r="ACA378" t="s">
        <v>25</v>
      </c>
      <c r="ACB378">
        <v>24</v>
      </c>
      <c r="ACC378">
        <v>0.05</v>
      </c>
      <c r="ACD378">
        <v>1</v>
      </c>
      <c r="ACE378" t="s">
        <v>531</v>
      </c>
      <c r="ACF378" t="str">
        <f>"628669010033"</f>
        <v>628669010033</v>
      </c>
      <c r="ACG378" t="str">
        <f>"0419671"</f>
        <v>0419671</v>
      </c>
      <c r="ACH378" t="s">
        <v>199</v>
      </c>
      <c r="ACI378" t="s">
        <v>25</v>
      </c>
      <c r="ACJ378">
        <v>24</v>
      </c>
      <c r="ACK378">
        <v>0.05</v>
      </c>
      <c r="ACL378">
        <v>1</v>
      </c>
      <c r="ACM378" t="s">
        <v>531</v>
      </c>
      <c r="ACN378" t="str">
        <f>"628669010033"</f>
        <v>628669010033</v>
      </c>
      <c r="ACO378" t="str">
        <f>"0419671"</f>
        <v>0419671</v>
      </c>
      <c r="ACP378" t="s">
        <v>199</v>
      </c>
      <c r="ACQ378" t="s">
        <v>25</v>
      </c>
      <c r="ACR378">
        <v>24</v>
      </c>
      <c r="ACS378">
        <v>0.05</v>
      </c>
      <c r="ACT378">
        <v>1</v>
      </c>
      <c r="ACU378" t="s">
        <v>531</v>
      </c>
      <c r="ACV378" t="str">
        <f>"628669010033"</f>
        <v>628669010033</v>
      </c>
      <c r="ACW378" t="str">
        <f>"0419671"</f>
        <v>0419671</v>
      </c>
      <c r="ACX378" t="s">
        <v>199</v>
      </c>
      <c r="ACY378" t="s">
        <v>25</v>
      </c>
      <c r="ACZ378">
        <v>24</v>
      </c>
      <c r="ADA378">
        <v>0.05</v>
      </c>
      <c r="ADB378">
        <v>1</v>
      </c>
      <c r="ADC378" t="s">
        <v>531</v>
      </c>
      <c r="ADD378" t="str">
        <f>"628669010033"</f>
        <v>628669010033</v>
      </c>
      <c r="ADE378" t="str">
        <f>"0419671"</f>
        <v>0419671</v>
      </c>
      <c r="ADF378" t="s">
        <v>199</v>
      </c>
      <c r="ADG378" t="s">
        <v>25</v>
      </c>
      <c r="ADH378">
        <v>24</v>
      </c>
      <c r="ADI378">
        <v>0.05</v>
      </c>
      <c r="ADJ378">
        <v>1</v>
      </c>
      <c r="ADK378" t="s">
        <v>531</v>
      </c>
      <c r="ADL378" t="str">
        <f>"628669010033"</f>
        <v>628669010033</v>
      </c>
      <c r="ADM378" t="str">
        <f>"0419671"</f>
        <v>0419671</v>
      </c>
      <c r="ADN378" t="s">
        <v>199</v>
      </c>
      <c r="ADO378" t="s">
        <v>25</v>
      </c>
      <c r="ADP378">
        <v>24</v>
      </c>
      <c r="ADQ378">
        <v>0.05</v>
      </c>
      <c r="ADR378">
        <v>1</v>
      </c>
      <c r="ADS378" t="s">
        <v>531</v>
      </c>
      <c r="ADT378" t="str">
        <f>"628669010033"</f>
        <v>628669010033</v>
      </c>
      <c r="ADU378" t="str">
        <f>"0419671"</f>
        <v>0419671</v>
      </c>
      <c r="ADV378" t="s">
        <v>199</v>
      </c>
      <c r="ADW378" t="s">
        <v>25</v>
      </c>
      <c r="ADX378">
        <v>24</v>
      </c>
      <c r="ADY378">
        <v>0.05</v>
      </c>
      <c r="ADZ378">
        <v>1</v>
      </c>
      <c r="AEA378" t="s">
        <v>531</v>
      </c>
      <c r="AEB378" t="str">
        <f>"628669010033"</f>
        <v>628669010033</v>
      </c>
      <c r="AEC378" t="str">
        <f>"0419671"</f>
        <v>0419671</v>
      </c>
      <c r="AED378" t="s">
        <v>199</v>
      </c>
      <c r="AEE378" t="s">
        <v>25</v>
      </c>
      <c r="AEF378">
        <v>24</v>
      </c>
      <c r="AEG378">
        <v>0.05</v>
      </c>
      <c r="AEH378">
        <v>1</v>
      </c>
      <c r="AEI378" t="s">
        <v>531</v>
      </c>
      <c r="AEJ378" t="str">
        <f>"628669010033"</f>
        <v>628669010033</v>
      </c>
      <c r="AEK378" t="str">
        <f>"0419671"</f>
        <v>0419671</v>
      </c>
      <c r="AEL378" t="s">
        <v>199</v>
      </c>
      <c r="AEM378" t="s">
        <v>25</v>
      </c>
      <c r="AEN378">
        <v>24</v>
      </c>
      <c r="AEO378">
        <v>0.05</v>
      </c>
      <c r="AEP378">
        <v>1</v>
      </c>
      <c r="AEQ378" t="s">
        <v>531</v>
      </c>
      <c r="AER378" t="str">
        <f>"628669010033"</f>
        <v>628669010033</v>
      </c>
      <c r="AES378" t="str">
        <f>"0419671"</f>
        <v>0419671</v>
      </c>
      <c r="AET378" t="s">
        <v>199</v>
      </c>
      <c r="AEU378" t="s">
        <v>25</v>
      </c>
      <c r="AEV378">
        <v>24</v>
      </c>
      <c r="AEW378">
        <v>0.05</v>
      </c>
      <c r="AEX378">
        <v>1</v>
      </c>
      <c r="AEY378" t="s">
        <v>531</v>
      </c>
      <c r="AEZ378" t="str">
        <f>"628669010033"</f>
        <v>628669010033</v>
      </c>
      <c r="AFA378" t="str">
        <f>"0419671"</f>
        <v>0419671</v>
      </c>
      <c r="AFB378" t="s">
        <v>199</v>
      </c>
      <c r="AFC378" t="s">
        <v>25</v>
      </c>
      <c r="AFD378">
        <v>24</v>
      </c>
      <c r="AFE378">
        <v>0.05</v>
      </c>
      <c r="AFF378">
        <v>1</v>
      </c>
      <c r="AFG378" t="s">
        <v>531</v>
      </c>
      <c r="AFH378" t="str">
        <f>"628669010033"</f>
        <v>628669010033</v>
      </c>
      <c r="AFI378" t="str">
        <f>"0419671"</f>
        <v>0419671</v>
      </c>
      <c r="AFJ378" t="s">
        <v>199</v>
      </c>
      <c r="AFK378" t="s">
        <v>25</v>
      </c>
      <c r="AFL378">
        <v>24</v>
      </c>
      <c r="AFM378">
        <v>0.05</v>
      </c>
      <c r="AFN378">
        <v>1</v>
      </c>
      <c r="AFO378" t="s">
        <v>531</v>
      </c>
      <c r="AFP378" t="str">
        <f>"628669010033"</f>
        <v>628669010033</v>
      </c>
      <c r="AFQ378" t="str">
        <f>"0419671"</f>
        <v>0419671</v>
      </c>
      <c r="AFR378" t="s">
        <v>199</v>
      </c>
      <c r="AFS378" t="s">
        <v>25</v>
      </c>
      <c r="AFT378">
        <v>24</v>
      </c>
      <c r="AFU378">
        <v>0.05</v>
      </c>
      <c r="AFV378">
        <v>1</v>
      </c>
      <c r="AFW378" t="s">
        <v>531</v>
      </c>
      <c r="AFX378" t="str">
        <f>"628669010033"</f>
        <v>628669010033</v>
      </c>
      <c r="AFY378" t="str">
        <f>"0419671"</f>
        <v>0419671</v>
      </c>
      <c r="AFZ378" t="s">
        <v>199</v>
      </c>
      <c r="AGA378" t="s">
        <v>25</v>
      </c>
      <c r="AGB378">
        <v>24</v>
      </c>
      <c r="AGC378">
        <v>0.05</v>
      </c>
      <c r="AGD378">
        <v>1</v>
      </c>
      <c r="AGE378" t="s">
        <v>531</v>
      </c>
      <c r="AGF378" t="str">
        <f>"628669010033"</f>
        <v>628669010033</v>
      </c>
      <c r="AGG378" t="str">
        <f>"0419671"</f>
        <v>0419671</v>
      </c>
      <c r="AGH378" t="s">
        <v>199</v>
      </c>
      <c r="AGI378" t="s">
        <v>25</v>
      </c>
      <c r="AGJ378">
        <v>24</v>
      </c>
      <c r="AGK378">
        <v>0.05</v>
      </c>
      <c r="AGL378">
        <v>1</v>
      </c>
      <c r="AGM378" t="s">
        <v>531</v>
      </c>
      <c r="AGN378" t="str">
        <f>"628669010033"</f>
        <v>628669010033</v>
      </c>
      <c r="AGO378" t="str">
        <f>"0419671"</f>
        <v>0419671</v>
      </c>
      <c r="AGP378" t="s">
        <v>199</v>
      </c>
      <c r="AGQ378" t="s">
        <v>25</v>
      </c>
      <c r="AGR378">
        <v>24</v>
      </c>
      <c r="AGS378">
        <v>0.05</v>
      </c>
      <c r="AGT378">
        <v>1</v>
      </c>
      <c r="AGU378" t="s">
        <v>531</v>
      </c>
      <c r="AGV378" t="str">
        <f>"628669010033"</f>
        <v>628669010033</v>
      </c>
      <c r="AGW378" t="str">
        <f>"0419671"</f>
        <v>0419671</v>
      </c>
      <c r="AGX378" t="s">
        <v>199</v>
      </c>
      <c r="AGY378" t="s">
        <v>25</v>
      </c>
      <c r="AGZ378">
        <v>24</v>
      </c>
      <c r="AHA378">
        <v>0.05</v>
      </c>
      <c r="AHB378">
        <v>1</v>
      </c>
      <c r="AHC378" t="s">
        <v>531</v>
      </c>
      <c r="AHD378" t="str">
        <f>"628669010033"</f>
        <v>628669010033</v>
      </c>
      <c r="AHE378" t="str">
        <f>"0419671"</f>
        <v>0419671</v>
      </c>
      <c r="AHF378" t="s">
        <v>199</v>
      </c>
      <c r="AHG378" t="s">
        <v>25</v>
      </c>
      <c r="AHH378">
        <v>24</v>
      </c>
      <c r="AHI378">
        <v>0.05</v>
      </c>
      <c r="AHJ378">
        <v>1</v>
      </c>
      <c r="AHK378" t="s">
        <v>531</v>
      </c>
      <c r="AHL378" t="str">
        <f>"628669010033"</f>
        <v>628669010033</v>
      </c>
      <c r="AHM378" t="str">
        <f>"0419671"</f>
        <v>0419671</v>
      </c>
      <c r="AHN378" t="s">
        <v>199</v>
      </c>
      <c r="AHO378" t="s">
        <v>25</v>
      </c>
      <c r="AHP378">
        <v>24</v>
      </c>
      <c r="AHQ378">
        <v>0.05</v>
      </c>
      <c r="AHR378">
        <v>1</v>
      </c>
      <c r="AHS378" t="s">
        <v>531</v>
      </c>
      <c r="AHT378" t="str">
        <f>"628669010033"</f>
        <v>628669010033</v>
      </c>
      <c r="AHU378" t="str">
        <f>"0419671"</f>
        <v>0419671</v>
      </c>
      <c r="AHV378" t="s">
        <v>199</v>
      </c>
      <c r="AHW378" t="s">
        <v>25</v>
      </c>
      <c r="AHX378">
        <v>24</v>
      </c>
      <c r="AHY378">
        <v>0.05</v>
      </c>
      <c r="AHZ378">
        <v>1</v>
      </c>
      <c r="AIA378" t="s">
        <v>531</v>
      </c>
      <c r="AIB378" t="str">
        <f>"628669010033"</f>
        <v>628669010033</v>
      </c>
      <c r="AIC378" t="str">
        <f>"0419671"</f>
        <v>0419671</v>
      </c>
      <c r="AID378" t="s">
        <v>199</v>
      </c>
      <c r="AIE378" t="s">
        <v>25</v>
      </c>
      <c r="AIF378">
        <v>24</v>
      </c>
      <c r="AIG378">
        <v>0.05</v>
      </c>
      <c r="AIH378">
        <v>1</v>
      </c>
      <c r="AII378" t="s">
        <v>531</v>
      </c>
      <c r="AIJ378" t="str">
        <f>"628669010033"</f>
        <v>628669010033</v>
      </c>
      <c r="AIK378" t="str">
        <f>"0419671"</f>
        <v>0419671</v>
      </c>
      <c r="AIL378" t="s">
        <v>199</v>
      </c>
      <c r="AIM378" t="s">
        <v>25</v>
      </c>
      <c r="AIN378">
        <v>24</v>
      </c>
      <c r="AIO378">
        <v>0.05</v>
      </c>
      <c r="AIP378">
        <v>1</v>
      </c>
      <c r="AIQ378" t="s">
        <v>531</v>
      </c>
      <c r="AIR378" t="str">
        <f>"628669010033"</f>
        <v>628669010033</v>
      </c>
      <c r="AIS378" t="str">
        <f>"0419671"</f>
        <v>0419671</v>
      </c>
      <c r="AIT378" t="s">
        <v>199</v>
      </c>
      <c r="AIU378" t="s">
        <v>25</v>
      </c>
      <c r="AIV378">
        <v>24</v>
      </c>
      <c r="AIW378">
        <v>0.05</v>
      </c>
      <c r="AIX378">
        <v>1</v>
      </c>
      <c r="AIY378" t="s">
        <v>531</v>
      </c>
      <c r="AIZ378" t="str">
        <f>"628669010033"</f>
        <v>628669010033</v>
      </c>
      <c r="AJA378" t="str">
        <f>"0419671"</f>
        <v>0419671</v>
      </c>
      <c r="AJB378" t="s">
        <v>199</v>
      </c>
      <c r="AJC378" t="s">
        <v>25</v>
      </c>
      <c r="AJD378">
        <v>24</v>
      </c>
      <c r="AJE378">
        <v>0.05</v>
      </c>
      <c r="AJF378">
        <v>1</v>
      </c>
      <c r="AJG378" t="s">
        <v>531</v>
      </c>
      <c r="AJH378" t="str">
        <f>"628669010033"</f>
        <v>628669010033</v>
      </c>
      <c r="AJI378" t="str">
        <f>"0419671"</f>
        <v>0419671</v>
      </c>
      <c r="AJJ378" t="s">
        <v>199</v>
      </c>
      <c r="AJK378" t="s">
        <v>25</v>
      </c>
      <c r="AJL378">
        <v>24</v>
      </c>
      <c r="AJM378">
        <v>0.05</v>
      </c>
      <c r="AJN378">
        <v>1</v>
      </c>
      <c r="AJO378" t="s">
        <v>531</v>
      </c>
      <c r="AJP378" t="str">
        <f>"628669010033"</f>
        <v>628669010033</v>
      </c>
      <c r="AJQ378" t="str">
        <f>"0419671"</f>
        <v>0419671</v>
      </c>
      <c r="AJR378" t="s">
        <v>199</v>
      </c>
      <c r="AJS378" t="s">
        <v>25</v>
      </c>
      <c r="AJT378">
        <v>24</v>
      </c>
      <c r="AJU378">
        <v>0.05</v>
      </c>
      <c r="AJV378">
        <v>1</v>
      </c>
      <c r="AJW378" t="s">
        <v>531</v>
      </c>
      <c r="AJX378" t="str">
        <f>"628669010033"</f>
        <v>628669010033</v>
      </c>
      <c r="AJY378" t="str">
        <f>"0419671"</f>
        <v>0419671</v>
      </c>
      <c r="AJZ378" t="s">
        <v>199</v>
      </c>
      <c r="AKA378" t="s">
        <v>25</v>
      </c>
      <c r="AKB378">
        <v>24</v>
      </c>
      <c r="AKC378">
        <v>0.05</v>
      </c>
      <c r="AKD378">
        <v>1</v>
      </c>
      <c r="AKE378" t="s">
        <v>531</v>
      </c>
      <c r="AKF378" t="str">
        <f>"628669010033"</f>
        <v>628669010033</v>
      </c>
      <c r="AKG378" t="str">
        <f>"0419671"</f>
        <v>0419671</v>
      </c>
      <c r="AKH378" t="s">
        <v>199</v>
      </c>
      <c r="AKI378" t="s">
        <v>25</v>
      </c>
      <c r="AKJ378">
        <v>24</v>
      </c>
      <c r="AKK378">
        <v>0.05</v>
      </c>
      <c r="AKL378">
        <v>1</v>
      </c>
      <c r="AKM378" t="s">
        <v>531</v>
      </c>
      <c r="AKN378" t="str">
        <f>"628669010033"</f>
        <v>628669010033</v>
      </c>
      <c r="AKO378" t="str">
        <f>"0419671"</f>
        <v>0419671</v>
      </c>
      <c r="AKP378" t="s">
        <v>199</v>
      </c>
      <c r="AKQ378" t="s">
        <v>25</v>
      </c>
      <c r="AKR378">
        <v>24</v>
      </c>
      <c r="AKS378">
        <v>0.05</v>
      </c>
      <c r="AKT378">
        <v>1</v>
      </c>
      <c r="AKU378" t="s">
        <v>531</v>
      </c>
      <c r="AKV378" t="str">
        <f>"628669010033"</f>
        <v>628669010033</v>
      </c>
      <c r="AKW378" t="str">
        <f>"0419671"</f>
        <v>0419671</v>
      </c>
      <c r="AKX378" t="s">
        <v>199</v>
      </c>
      <c r="AKY378" t="s">
        <v>25</v>
      </c>
      <c r="AKZ378">
        <v>24</v>
      </c>
      <c r="ALA378">
        <v>0.05</v>
      </c>
      <c r="ALB378">
        <v>1</v>
      </c>
      <c r="ALC378" t="s">
        <v>531</v>
      </c>
      <c r="ALD378" t="str">
        <f>"628669010033"</f>
        <v>628669010033</v>
      </c>
      <c r="ALE378" t="str">
        <f>"0419671"</f>
        <v>0419671</v>
      </c>
      <c r="ALF378" t="s">
        <v>199</v>
      </c>
      <c r="ALG378" t="s">
        <v>25</v>
      </c>
      <c r="ALH378">
        <v>24</v>
      </c>
      <c r="ALI378">
        <v>0.05</v>
      </c>
      <c r="ALJ378">
        <v>1</v>
      </c>
      <c r="ALK378" t="s">
        <v>531</v>
      </c>
      <c r="ALL378" t="str">
        <f>"628669010033"</f>
        <v>628669010033</v>
      </c>
      <c r="ALM378" t="str">
        <f>"0419671"</f>
        <v>0419671</v>
      </c>
      <c r="ALN378" t="s">
        <v>199</v>
      </c>
      <c r="ALO378" t="s">
        <v>25</v>
      </c>
      <c r="ALP378">
        <v>24</v>
      </c>
      <c r="ALQ378">
        <v>0.05</v>
      </c>
      <c r="ALR378">
        <v>1</v>
      </c>
      <c r="ALS378" t="s">
        <v>531</v>
      </c>
      <c r="ALT378" t="str">
        <f>"628669010033"</f>
        <v>628669010033</v>
      </c>
      <c r="ALU378" t="str">
        <f>"0419671"</f>
        <v>0419671</v>
      </c>
      <c r="ALV378" t="s">
        <v>199</v>
      </c>
      <c r="ALW378" t="s">
        <v>25</v>
      </c>
      <c r="ALX378">
        <v>24</v>
      </c>
      <c r="ALY378">
        <v>0.05</v>
      </c>
      <c r="ALZ378">
        <v>1</v>
      </c>
      <c r="AMA378" t="s">
        <v>531</v>
      </c>
      <c r="AMB378" t="str">
        <f>"628669010033"</f>
        <v>628669010033</v>
      </c>
      <c r="AMC378" t="str">
        <f>"0419671"</f>
        <v>0419671</v>
      </c>
      <c r="AMD378" t="s">
        <v>199</v>
      </c>
      <c r="AME378" t="s">
        <v>25</v>
      </c>
      <c r="AMF378">
        <v>24</v>
      </c>
      <c r="AMG378">
        <v>0.05</v>
      </c>
      <c r="AMH378">
        <v>1</v>
      </c>
      <c r="AMI378" t="s">
        <v>531</v>
      </c>
      <c r="AMJ378" t="str">
        <f>"628669010033"</f>
        <v>628669010033</v>
      </c>
      <c r="AMK378" t="str">
        <f>"0419671"</f>
        <v>0419671</v>
      </c>
      <c r="AML378" t="s">
        <v>199</v>
      </c>
      <c r="AMM378" t="s">
        <v>25</v>
      </c>
      <c r="AMN378">
        <v>24</v>
      </c>
      <c r="AMO378">
        <v>0.05</v>
      </c>
      <c r="AMP378">
        <v>1</v>
      </c>
      <c r="AMQ378" t="s">
        <v>531</v>
      </c>
      <c r="AMR378" t="str">
        <f>"628669010033"</f>
        <v>628669010033</v>
      </c>
      <c r="AMS378" t="str">
        <f>"0419671"</f>
        <v>0419671</v>
      </c>
      <c r="AMT378" t="s">
        <v>199</v>
      </c>
      <c r="AMU378" t="s">
        <v>25</v>
      </c>
      <c r="AMV378">
        <v>24</v>
      </c>
      <c r="AMW378">
        <v>0.05</v>
      </c>
      <c r="AMX378">
        <v>1</v>
      </c>
      <c r="AMY378" t="s">
        <v>531</v>
      </c>
      <c r="AMZ378" t="str">
        <f>"628669010033"</f>
        <v>628669010033</v>
      </c>
      <c r="ANA378" t="str">
        <f>"0419671"</f>
        <v>0419671</v>
      </c>
      <c r="ANB378" t="s">
        <v>199</v>
      </c>
      <c r="ANC378" t="s">
        <v>25</v>
      </c>
      <c r="AND378">
        <v>24</v>
      </c>
      <c r="ANE378">
        <v>0.05</v>
      </c>
      <c r="ANF378">
        <v>1</v>
      </c>
      <c r="ANG378" t="s">
        <v>531</v>
      </c>
      <c r="ANH378" t="str">
        <f>"628669010033"</f>
        <v>628669010033</v>
      </c>
      <c r="ANI378" t="str">
        <f>"0419671"</f>
        <v>0419671</v>
      </c>
      <c r="ANJ378" t="s">
        <v>199</v>
      </c>
      <c r="ANK378" t="s">
        <v>25</v>
      </c>
      <c r="ANL378">
        <v>24</v>
      </c>
      <c r="ANM378">
        <v>0.05</v>
      </c>
      <c r="ANN378">
        <v>1</v>
      </c>
      <c r="ANO378" t="s">
        <v>531</v>
      </c>
      <c r="ANP378" t="str">
        <f>"628669010033"</f>
        <v>628669010033</v>
      </c>
      <c r="ANQ378" t="str">
        <f>"0419671"</f>
        <v>0419671</v>
      </c>
      <c r="ANR378" t="s">
        <v>199</v>
      </c>
      <c r="ANS378" t="s">
        <v>25</v>
      </c>
      <c r="ANT378">
        <v>24</v>
      </c>
      <c r="ANU378">
        <v>0.05</v>
      </c>
      <c r="ANV378">
        <v>1</v>
      </c>
      <c r="ANW378" t="s">
        <v>531</v>
      </c>
      <c r="ANX378" t="str">
        <f>"628669010033"</f>
        <v>628669010033</v>
      </c>
      <c r="ANY378" t="str">
        <f>"0419671"</f>
        <v>0419671</v>
      </c>
      <c r="ANZ378" t="s">
        <v>199</v>
      </c>
      <c r="AOA378" t="s">
        <v>25</v>
      </c>
      <c r="AOB378">
        <v>24</v>
      </c>
      <c r="AOC378">
        <v>0.05</v>
      </c>
      <c r="AOD378">
        <v>1</v>
      </c>
      <c r="AOE378" t="s">
        <v>531</v>
      </c>
      <c r="AOF378" t="str">
        <f>"628669010033"</f>
        <v>628669010033</v>
      </c>
      <c r="AOG378" t="str">
        <f>"0419671"</f>
        <v>0419671</v>
      </c>
      <c r="AOH378" t="s">
        <v>199</v>
      </c>
      <c r="AOI378" t="s">
        <v>25</v>
      </c>
      <c r="AOJ378">
        <v>24</v>
      </c>
      <c r="AOK378">
        <v>0.05</v>
      </c>
      <c r="AOL378">
        <v>1</v>
      </c>
      <c r="AOM378" t="s">
        <v>531</v>
      </c>
      <c r="AON378" t="str">
        <f>"628669010033"</f>
        <v>628669010033</v>
      </c>
      <c r="AOO378" t="str">
        <f>"0419671"</f>
        <v>0419671</v>
      </c>
      <c r="AOP378" t="s">
        <v>199</v>
      </c>
      <c r="AOQ378" t="s">
        <v>25</v>
      </c>
      <c r="AOR378">
        <v>24</v>
      </c>
      <c r="AOS378">
        <v>0.05</v>
      </c>
      <c r="AOT378">
        <v>1</v>
      </c>
      <c r="AOU378" t="s">
        <v>531</v>
      </c>
      <c r="AOV378" t="str">
        <f>"628669010033"</f>
        <v>628669010033</v>
      </c>
      <c r="AOW378" t="str">
        <f>"0419671"</f>
        <v>0419671</v>
      </c>
      <c r="AOX378" t="s">
        <v>199</v>
      </c>
      <c r="AOY378" t="s">
        <v>25</v>
      </c>
      <c r="AOZ378">
        <v>24</v>
      </c>
      <c r="APA378">
        <v>0.05</v>
      </c>
      <c r="APB378">
        <v>1</v>
      </c>
      <c r="APC378" t="s">
        <v>531</v>
      </c>
      <c r="APD378" t="str">
        <f>"628669010033"</f>
        <v>628669010033</v>
      </c>
      <c r="APE378" t="str">
        <f>"0419671"</f>
        <v>0419671</v>
      </c>
      <c r="APF378" t="s">
        <v>199</v>
      </c>
      <c r="APG378" t="s">
        <v>25</v>
      </c>
      <c r="APH378">
        <v>24</v>
      </c>
      <c r="API378">
        <v>0.05</v>
      </c>
      <c r="APJ378">
        <v>1</v>
      </c>
      <c r="APK378" t="s">
        <v>531</v>
      </c>
      <c r="APL378" t="str">
        <f>"628669010033"</f>
        <v>628669010033</v>
      </c>
      <c r="APM378" t="str">
        <f>"0419671"</f>
        <v>0419671</v>
      </c>
      <c r="APN378" t="s">
        <v>199</v>
      </c>
      <c r="APO378" t="s">
        <v>25</v>
      </c>
      <c r="APP378">
        <v>24</v>
      </c>
      <c r="APQ378">
        <v>0.05</v>
      </c>
      <c r="APR378">
        <v>1</v>
      </c>
      <c r="APS378" t="s">
        <v>531</v>
      </c>
      <c r="APT378" t="str">
        <f>"628669010033"</f>
        <v>628669010033</v>
      </c>
      <c r="APU378" t="str">
        <f>"0419671"</f>
        <v>0419671</v>
      </c>
      <c r="APV378" t="s">
        <v>199</v>
      </c>
      <c r="APW378" t="s">
        <v>25</v>
      </c>
      <c r="APX378">
        <v>24</v>
      </c>
      <c r="APY378">
        <v>0.05</v>
      </c>
      <c r="APZ378">
        <v>1</v>
      </c>
      <c r="AQA378" t="s">
        <v>531</v>
      </c>
      <c r="AQB378" t="str">
        <f>"628669010033"</f>
        <v>628669010033</v>
      </c>
      <c r="AQC378" t="str">
        <f>"0419671"</f>
        <v>0419671</v>
      </c>
      <c r="AQD378" t="s">
        <v>199</v>
      </c>
      <c r="AQE378" t="s">
        <v>25</v>
      </c>
      <c r="AQF378">
        <v>24</v>
      </c>
      <c r="AQG378">
        <v>0.05</v>
      </c>
      <c r="AQH378">
        <v>1</v>
      </c>
      <c r="AQI378" t="s">
        <v>531</v>
      </c>
      <c r="AQJ378" t="str">
        <f>"628669010033"</f>
        <v>628669010033</v>
      </c>
      <c r="AQK378" t="str">
        <f>"0419671"</f>
        <v>0419671</v>
      </c>
      <c r="AQL378" t="s">
        <v>199</v>
      </c>
      <c r="AQM378" t="s">
        <v>25</v>
      </c>
      <c r="AQN378">
        <v>24</v>
      </c>
      <c r="AQO378">
        <v>0.05</v>
      </c>
      <c r="AQP378">
        <v>1</v>
      </c>
      <c r="AQQ378" t="s">
        <v>531</v>
      </c>
      <c r="AQR378" t="str">
        <f>"628669010033"</f>
        <v>628669010033</v>
      </c>
      <c r="AQS378" t="str">
        <f>"0419671"</f>
        <v>0419671</v>
      </c>
      <c r="AQT378" t="s">
        <v>199</v>
      </c>
      <c r="AQU378" t="s">
        <v>25</v>
      </c>
      <c r="AQV378">
        <v>24</v>
      </c>
      <c r="AQW378">
        <v>0.05</v>
      </c>
      <c r="AQX378">
        <v>1</v>
      </c>
      <c r="AQY378" t="s">
        <v>531</v>
      </c>
      <c r="AQZ378" t="str">
        <f>"628669010033"</f>
        <v>628669010033</v>
      </c>
      <c r="ARA378" t="str">
        <f>"0419671"</f>
        <v>0419671</v>
      </c>
      <c r="ARB378" t="s">
        <v>199</v>
      </c>
      <c r="ARC378" t="s">
        <v>25</v>
      </c>
      <c r="ARD378">
        <v>24</v>
      </c>
      <c r="ARE378">
        <v>0.05</v>
      </c>
      <c r="ARF378">
        <v>1</v>
      </c>
      <c r="ARG378" t="s">
        <v>531</v>
      </c>
      <c r="ARH378" t="str">
        <f>"628669010033"</f>
        <v>628669010033</v>
      </c>
      <c r="ARI378" t="str">
        <f>"0419671"</f>
        <v>0419671</v>
      </c>
      <c r="ARJ378" t="s">
        <v>199</v>
      </c>
      <c r="ARK378" t="s">
        <v>25</v>
      </c>
      <c r="ARL378">
        <v>24</v>
      </c>
      <c r="ARM378">
        <v>0.05</v>
      </c>
      <c r="ARN378">
        <v>1</v>
      </c>
      <c r="ARO378" t="s">
        <v>531</v>
      </c>
      <c r="ARP378" t="str">
        <f>"628669010033"</f>
        <v>628669010033</v>
      </c>
      <c r="ARQ378" t="str">
        <f>"0419671"</f>
        <v>0419671</v>
      </c>
      <c r="ARR378" t="s">
        <v>199</v>
      </c>
      <c r="ARS378" t="s">
        <v>25</v>
      </c>
      <c r="ART378">
        <v>24</v>
      </c>
      <c r="ARU378">
        <v>0.05</v>
      </c>
      <c r="ARV378">
        <v>1</v>
      </c>
      <c r="ARW378" t="s">
        <v>531</v>
      </c>
      <c r="ARX378" t="str">
        <f>"628669010033"</f>
        <v>628669010033</v>
      </c>
      <c r="ARY378" t="str">
        <f>"0419671"</f>
        <v>0419671</v>
      </c>
      <c r="ARZ378" t="s">
        <v>199</v>
      </c>
      <c r="ASA378" t="s">
        <v>25</v>
      </c>
      <c r="ASB378">
        <v>24</v>
      </c>
      <c r="ASC378">
        <v>0.05</v>
      </c>
      <c r="ASD378">
        <v>1</v>
      </c>
      <c r="ASE378" t="s">
        <v>531</v>
      </c>
      <c r="ASF378" t="str">
        <f>"628669010033"</f>
        <v>628669010033</v>
      </c>
      <c r="ASG378" t="str">
        <f>"0419671"</f>
        <v>0419671</v>
      </c>
      <c r="ASH378" t="s">
        <v>199</v>
      </c>
      <c r="ASI378" t="s">
        <v>25</v>
      </c>
      <c r="ASJ378">
        <v>24</v>
      </c>
      <c r="ASK378">
        <v>0.05</v>
      </c>
      <c r="ASL378">
        <v>1</v>
      </c>
      <c r="ASM378" t="s">
        <v>531</v>
      </c>
      <c r="ASN378" t="str">
        <f>"628669010033"</f>
        <v>628669010033</v>
      </c>
      <c r="ASO378" t="str">
        <f>"0419671"</f>
        <v>0419671</v>
      </c>
      <c r="ASP378" t="s">
        <v>199</v>
      </c>
      <c r="ASQ378" t="s">
        <v>25</v>
      </c>
      <c r="ASR378">
        <v>24</v>
      </c>
      <c r="ASS378">
        <v>0.05</v>
      </c>
      <c r="AST378">
        <v>1</v>
      </c>
      <c r="ASU378" t="s">
        <v>531</v>
      </c>
      <c r="ASV378" t="str">
        <f>"628669010033"</f>
        <v>628669010033</v>
      </c>
      <c r="ASW378" t="str">
        <f>"0419671"</f>
        <v>0419671</v>
      </c>
      <c r="ASX378" t="s">
        <v>199</v>
      </c>
      <c r="ASY378" t="s">
        <v>25</v>
      </c>
      <c r="ASZ378">
        <v>24</v>
      </c>
      <c r="ATA378">
        <v>0.05</v>
      </c>
      <c r="ATB378">
        <v>1</v>
      </c>
      <c r="ATC378" t="s">
        <v>531</v>
      </c>
      <c r="ATD378" t="str">
        <f>"628669010033"</f>
        <v>628669010033</v>
      </c>
      <c r="ATE378" t="str">
        <f>"0419671"</f>
        <v>0419671</v>
      </c>
      <c r="ATF378" t="s">
        <v>199</v>
      </c>
      <c r="ATG378" t="s">
        <v>25</v>
      </c>
      <c r="ATH378">
        <v>24</v>
      </c>
      <c r="ATI378">
        <v>0.05</v>
      </c>
      <c r="ATJ378">
        <v>1</v>
      </c>
      <c r="ATK378" t="s">
        <v>531</v>
      </c>
      <c r="ATL378" t="str">
        <f>"628669010033"</f>
        <v>628669010033</v>
      </c>
      <c r="ATM378" t="str">
        <f>"0419671"</f>
        <v>0419671</v>
      </c>
      <c r="ATN378" t="s">
        <v>199</v>
      </c>
      <c r="ATO378" t="s">
        <v>25</v>
      </c>
      <c r="ATP378">
        <v>24</v>
      </c>
      <c r="ATQ378">
        <v>0.05</v>
      </c>
      <c r="ATR378">
        <v>1</v>
      </c>
      <c r="ATS378" t="s">
        <v>531</v>
      </c>
      <c r="ATT378" t="str">
        <f>"628669010033"</f>
        <v>628669010033</v>
      </c>
      <c r="ATU378" t="str">
        <f>"0419671"</f>
        <v>0419671</v>
      </c>
      <c r="ATV378" t="s">
        <v>199</v>
      </c>
      <c r="ATW378" t="s">
        <v>25</v>
      </c>
      <c r="ATX378">
        <v>24</v>
      </c>
      <c r="ATY378">
        <v>0.05</v>
      </c>
      <c r="ATZ378">
        <v>1</v>
      </c>
      <c r="AUA378" t="s">
        <v>531</v>
      </c>
      <c r="AUB378" t="str">
        <f>"628669010033"</f>
        <v>628669010033</v>
      </c>
      <c r="AUC378" t="str">
        <f>"0419671"</f>
        <v>0419671</v>
      </c>
      <c r="AUD378" t="s">
        <v>199</v>
      </c>
      <c r="AUE378" t="s">
        <v>25</v>
      </c>
      <c r="AUF378">
        <v>24</v>
      </c>
      <c r="AUG378">
        <v>0.05</v>
      </c>
      <c r="AUH378">
        <v>1</v>
      </c>
      <c r="AUI378" t="s">
        <v>531</v>
      </c>
      <c r="AUJ378" t="str">
        <f>"628669010033"</f>
        <v>628669010033</v>
      </c>
      <c r="AUK378" t="str">
        <f>"0419671"</f>
        <v>0419671</v>
      </c>
      <c r="AUL378" t="s">
        <v>199</v>
      </c>
      <c r="AUM378" t="s">
        <v>25</v>
      </c>
      <c r="AUN378">
        <v>24</v>
      </c>
      <c r="AUO378">
        <v>0.05</v>
      </c>
      <c r="AUP378">
        <v>1</v>
      </c>
      <c r="AUQ378" t="s">
        <v>531</v>
      </c>
      <c r="AUR378" t="str">
        <f>"628669010033"</f>
        <v>628669010033</v>
      </c>
      <c r="AUS378" t="str">
        <f>"0419671"</f>
        <v>0419671</v>
      </c>
      <c r="AUT378" t="s">
        <v>199</v>
      </c>
      <c r="AUU378" t="s">
        <v>25</v>
      </c>
      <c r="AUV378">
        <v>24</v>
      </c>
      <c r="AUW378">
        <v>0.05</v>
      </c>
      <c r="AUX378">
        <v>1</v>
      </c>
      <c r="AUY378" t="s">
        <v>531</v>
      </c>
      <c r="AUZ378" t="str">
        <f>"628669010033"</f>
        <v>628669010033</v>
      </c>
      <c r="AVA378" t="str">
        <f>"0419671"</f>
        <v>0419671</v>
      </c>
      <c r="AVB378" t="s">
        <v>199</v>
      </c>
      <c r="AVC378" t="s">
        <v>25</v>
      </c>
      <c r="AVD378">
        <v>24</v>
      </c>
      <c r="AVE378">
        <v>0.05</v>
      </c>
      <c r="AVF378">
        <v>1</v>
      </c>
      <c r="AVG378" t="s">
        <v>531</v>
      </c>
      <c r="AVH378" t="str">
        <f>"628669010033"</f>
        <v>628669010033</v>
      </c>
      <c r="AVI378" t="str">
        <f>"0419671"</f>
        <v>0419671</v>
      </c>
      <c r="AVJ378" t="s">
        <v>199</v>
      </c>
      <c r="AVK378" t="s">
        <v>25</v>
      </c>
      <c r="AVL378">
        <v>24</v>
      </c>
      <c r="AVM378">
        <v>0.05</v>
      </c>
      <c r="AVN378">
        <v>1</v>
      </c>
      <c r="AVO378" t="s">
        <v>531</v>
      </c>
      <c r="AVP378" t="str">
        <f>"628669010033"</f>
        <v>628669010033</v>
      </c>
      <c r="AVQ378" t="str">
        <f>"0419671"</f>
        <v>0419671</v>
      </c>
      <c r="AVR378" t="s">
        <v>199</v>
      </c>
      <c r="AVS378" t="s">
        <v>25</v>
      </c>
      <c r="AVT378">
        <v>24</v>
      </c>
      <c r="AVU378">
        <v>0.05</v>
      </c>
      <c r="AVV378">
        <v>1</v>
      </c>
      <c r="AVW378" t="s">
        <v>531</v>
      </c>
      <c r="AVX378" t="str">
        <f>"628669010033"</f>
        <v>628669010033</v>
      </c>
      <c r="AVY378" t="str">
        <f>"0419671"</f>
        <v>0419671</v>
      </c>
      <c r="AVZ378" t="s">
        <v>199</v>
      </c>
      <c r="AWA378" t="s">
        <v>25</v>
      </c>
      <c r="AWB378">
        <v>24</v>
      </c>
      <c r="AWC378">
        <v>0.05</v>
      </c>
      <c r="AWD378">
        <v>1</v>
      </c>
      <c r="AWE378" t="s">
        <v>531</v>
      </c>
      <c r="AWF378" t="str">
        <f>"628669010033"</f>
        <v>628669010033</v>
      </c>
      <c r="AWG378" t="str">
        <f>"0419671"</f>
        <v>0419671</v>
      </c>
      <c r="AWH378" t="s">
        <v>199</v>
      </c>
      <c r="AWI378" t="s">
        <v>25</v>
      </c>
      <c r="AWJ378">
        <v>24</v>
      </c>
      <c r="AWK378">
        <v>0.05</v>
      </c>
      <c r="AWL378">
        <v>1</v>
      </c>
      <c r="AWM378" t="s">
        <v>531</v>
      </c>
      <c r="AWN378" t="str">
        <f>"628669010033"</f>
        <v>628669010033</v>
      </c>
      <c r="AWO378" t="str">
        <f>"0419671"</f>
        <v>0419671</v>
      </c>
      <c r="AWP378" t="s">
        <v>199</v>
      </c>
      <c r="AWQ378" t="s">
        <v>25</v>
      </c>
      <c r="AWR378">
        <v>24</v>
      </c>
      <c r="AWS378">
        <v>0.05</v>
      </c>
      <c r="AWT378">
        <v>1</v>
      </c>
      <c r="AWU378" t="s">
        <v>531</v>
      </c>
      <c r="AWV378" t="str">
        <f>"628669010033"</f>
        <v>628669010033</v>
      </c>
      <c r="AWW378" t="str">
        <f>"0419671"</f>
        <v>0419671</v>
      </c>
      <c r="AWX378" t="s">
        <v>199</v>
      </c>
      <c r="AWY378" t="s">
        <v>25</v>
      </c>
      <c r="AWZ378">
        <v>24</v>
      </c>
      <c r="AXA378">
        <v>0.05</v>
      </c>
      <c r="AXB378">
        <v>1</v>
      </c>
      <c r="AXC378" t="s">
        <v>531</v>
      </c>
      <c r="AXD378" t="str">
        <f>"628669010033"</f>
        <v>628669010033</v>
      </c>
      <c r="AXE378" t="str">
        <f>"0419671"</f>
        <v>0419671</v>
      </c>
      <c r="AXF378" t="s">
        <v>199</v>
      </c>
      <c r="AXG378" t="s">
        <v>25</v>
      </c>
      <c r="AXH378">
        <v>24</v>
      </c>
      <c r="AXI378">
        <v>0.05</v>
      </c>
      <c r="AXJ378">
        <v>1</v>
      </c>
      <c r="AXK378" t="s">
        <v>531</v>
      </c>
      <c r="AXL378" t="str">
        <f>"628669010033"</f>
        <v>628669010033</v>
      </c>
      <c r="AXM378" t="str">
        <f>"0419671"</f>
        <v>0419671</v>
      </c>
      <c r="AXN378" t="s">
        <v>199</v>
      </c>
      <c r="AXO378" t="s">
        <v>25</v>
      </c>
      <c r="AXP378">
        <v>24</v>
      </c>
      <c r="AXQ378">
        <v>0.05</v>
      </c>
      <c r="AXR378">
        <v>1</v>
      </c>
      <c r="AXS378" t="s">
        <v>531</v>
      </c>
      <c r="AXT378" t="str">
        <f>"628669010033"</f>
        <v>628669010033</v>
      </c>
      <c r="AXU378" t="str">
        <f>"0419671"</f>
        <v>0419671</v>
      </c>
      <c r="AXV378" t="s">
        <v>199</v>
      </c>
      <c r="AXW378" t="s">
        <v>25</v>
      </c>
      <c r="AXX378">
        <v>24</v>
      </c>
      <c r="AXY378">
        <v>0.05</v>
      </c>
      <c r="AXZ378">
        <v>1</v>
      </c>
      <c r="AYA378" t="s">
        <v>531</v>
      </c>
      <c r="AYB378" t="str">
        <f>"628669010033"</f>
        <v>628669010033</v>
      </c>
      <c r="AYC378" t="str">
        <f>"0419671"</f>
        <v>0419671</v>
      </c>
      <c r="AYD378" t="s">
        <v>199</v>
      </c>
      <c r="AYE378" t="s">
        <v>25</v>
      </c>
      <c r="AYF378">
        <v>24</v>
      </c>
      <c r="AYG378">
        <v>0.05</v>
      </c>
      <c r="AYH378">
        <v>1</v>
      </c>
      <c r="AYI378" t="s">
        <v>531</v>
      </c>
      <c r="AYJ378" t="str">
        <f>"628669010033"</f>
        <v>628669010033</v>
      </c>
      <c r="AYK378" t="str">
        <f>"0419671"</f>
        <v>0419671</v>
      </c>
      <c r="AYL378" t="s">
        <v>199</v>
      </c>
      <c r="AYM378" t="s">
        <v>25</v>
      </c>
      <c r="AYN378">
        <v>24</v>
      </c>
      <c r="AYO378">
        <v>0.05</v>
      </c>
      <c r="AYP378">
        <v>1</v>
      </c>
      <c r="AYQ378" t="s">
        <v>531</v>
      </c>
      <c r="AYR378" t="str">
        <f>"628669010033"</f>
        <v>628669010033</v>
      </c>
      <c r="AYS378" t="str">
        <f>"0419671"</f>
        <v>0419671</v>
      </c>
      <c r="AYT378" t="s">
        <v>199</v>
      </c>
      <c r="AYU378" t="s">
        <v>25</v>
      </c>
      <c r="AYV378">
        <v>24</v>
      </c>
      <c r="AYW378">
        <v>0.05</v>
      </c>
      <c r="AYX378">
        <v>1</v>
      </c>
      <c r="AYY378" t="s">
        <v>531</v>
      </c>
      <c r="AYZ378" t="str">
        <f>"628669010033"</f>
        <v>628669010033</v>
      </c>
      <c r="AZA378" t="str">
        <f>"0419671"</f>
        <v>0419671</v>
      </c>
      <c r="AZB378" t="s">
        <v>199</v>
      </c>
      <c r="AZC378" t="s">
        <v>25</v>
      </c>
      <c r="AZD378">
        <v>24</v>
      </c>
      <c r="AZE378">
        <v>0.05</v>
      </c>
      <c r="AZF378">
        <v>1</v>
      </c>
      <c r="AZG378" t="s">
        <v>531</v>
      </c>
      <c r="AZH378" t="str">
        <f>"628669010033"</f>
        <v>628669010033</v>
      </c>
      <c r="AZI378" t="str">
        <f>"0419671"</f>
        <v>0419671</v>
      </c>
      <c r="AZJ378" t="s">
        <v>199</v>
      </c>
      <c r="AZK378" t="s">
        <v>25</v>
      </c>
      <c r="AZL378">
        <v>24</v>
      </c>
      <c r="AZM378">
        <v>0.05</v>
      </c>
      <c r="AZN378">
        <v>1</v>
      </c>
      <c r="AZO378" t="s">
        <v>531</v>
      </c>
      <c r="AZP378" t="str">
        <f>"628669010033"</f>
        <v>628669010033</v>
      </c>
      <c r="AZQ378" t="str">
        <f>"0419671"</f>
        <v>0419671</v>
      </c>
      <c r="AZR378" t="s">
        <v>199</v>
      </c>
      <c r="AZS378" t="s">
        <v>25</v>
      </c>
      <c r="AZT378">
        <v>24</v>
      </c>
      <c r="AZU378">
        <v>0.05</v>
      </c>
      <c r="AZV378">
        <v>1</v>
      </c>
      <c r="AZW378" t="s">
        <v>531</v>
      </c>
      <c r="AZX378" t="str">
        <f>"628669010033"</f>
        <v>628669010033</v>
      </c>
      <c r="AZY378" t="str">
        <f>"0419671"</f>
        <v>0419671</v>
      </c>
      <c r="AZZ378" t="s">
        <v>199</v>
      </c>
      <c r="BAA378" t="s">
        <v>25</v>
      </c>
      <c r="BAB378">
        <v>24</v>
      </c>
      <c r="BAC378">
        <v>0.05</v>
      </c>
      <c r="BAD378">
        <v>1</v>
      </c>
      <c r="BAE378" t="s">
        <v>531</v>
      </c>
      <c r="BAF378" t="str">
        <f>"628669010033"</f>
        <v>628669010033</v>
      </c>
      <c r="BAG378" t="str">
        <f>"0419671"</f>
        <v>0419671</v>
      </c>
      <c r="BAH378" t="s">
        <v>199</v>
      </c>
      <c r="BAI378" t="s">
        <v>25</v>
      </c>
      <c r="BAJ378">
        <v>24</v>
      </c>
      <c r="BAK378">
        <v>0.05</v>
      </c>
      <c r="BAL378">
        <v>1</v>
      </c>
      <c r="BAM378" t="s">
        <v>531</v>
      </c>
      <c r="BAN378" t="str">
        <f>"628669010033"</f>
        <v>628669010033</v>
      </c>
      <c r="BAO378" t="str">
        <f>"0419671"</f>
        <v>0419671</v>
      </c>
      <c r="BAP378" t="s">
        <v>199</v>
      </c>
      <c r="BAQ378" t="s">
        <v>25</v>
      </c>
      <c r="BAR378">
        <v>24</v>
      </c>
      <c r="BAS378">
        <v>0.05</v>
      </c>
      <c r="BAT378">
        <v>1</v>
      </c>
      <c r="BAU378" t="s">
        <v>531</v>
      </c>
      <c r="BAV378" t="str">
        <f>"628669010033"</f>
        <v>628669010033</v>
      </c>
      <c r="BAW378" t="str">
        <f>"0419671"</f>
        <v>0419671</v>
      </c>
      <c r="BAX378" t="s">
        <v>199</v>
      </c>
      <c r="BAY378" t="s">
        <v>25</v>
      </c>
      <c r="BAZ378">
        <v>24</v>
      </c>
      <c r="BBA378">
        <v>0.05</v>
      </c>
      <c r="BBB378">
        <v>1</v>
      </c>
      <c r="BBC378" t="s">
        <v>531</v>
      </c>
      <c r="BBD378" t="str">
        <f>"628669010033"</f>
        <v>628669010033</v>
      </c>
      <c r="BBE378" t="str">
        <f>"0419671"</f>
        <v>0419671</v>
      </c>
      <c r="BBF378" t="s">
        <v>199</v>
      </c>
      <c r="BBG378" t="s">
        <v>25</v>
      </c>
      <c r="BBH378">
        <v>24</v>
      </c>
      <c r="BBI378">
        <v>0.05</v>
      </c>
      <c r="BBJ378">
        <v>1</v>
      </c>
      <c r="BBK378" t="s">
        <v>531</v>
      </c>
      <c r="BBL378" t="str">
        <f>"628669010033"</f>
        <v>628669010033</v>
      </c>
      <c r="BBM378" t="str">
        <f>"0419671"</f>
        <v>0419671</v>
      </c>
      <c r="BBN378" t="s">
        <v>199</v>
      </c>
      <c r="BBO378" t="s">
        <v>25</v>
      </c>
      <c r="BBP378">
        <v>24</v>
      </c>
      <c r="BBQ378">
        <v>0.05</v>
      </c>
      <c r="BBR378">
        <v>1</v>
      </c>
      <c r="BBS378" t="s">
        <v>531</v>
      </c>
      <c r="BBT378" t="str">
        <f>"628669010033"</f>
        <v>628669010033</v>
      </c>
      <c r="BBU378" t="str">
        <f>"0419671"</f>
        <v>0419671</v>
      </c>
      <c r="BBV378" t="s">
        <v>199</v>
      </c>
      <c r="BBW378" t="s">
        <v>25</v>
      </c>
      <c r="BBX378">
        <v>24</v>
      </c>
      <c r="BBY378">
        <v>0.05</v>
      </c>
      <c r="BBZ378">
        <v>1</v>
      </c>
      <c r="BCA378" t="s">
        <v>531</v>
      </c>
      <c r="BCB378" t="str">
        <f>"628669010033"</f>
        <v>628669010033</v>
      </c>
      <c r="BCC378" t="str">
        <f>"0419671"</f>
        <v>0419671</v>
      </c>
      <c r="BCD378" t="s">
        <v>199</v>
      </c>
      <c r="BCE378" t="s">
        <v>25</v>
      </c>
      <c r="BCF378">
        <v>24</v>
      </c>
      <c r="BCG378">
        <v>0.05</v>
      </c>
      <c r="BCH378">
        <v>1</v>
      </c>
      <c r="BCI378" t="s">
        <v>531</v>
      </c>
      <c r="BCJ378" t="str">
        <f>"628669010033"</f>
        <v>628669010033</v>
      </c>
      <c r="BCK378" t="str">
        <f>"0419671"</f>
        <v>0419671</v>
      </c>
      <c r="BCL378" t="s">
        <v>199</v>
      </c>
      <c r="BCM378" t="s">
        <v>25</v>
      </c>
      <c r="BCN378">
        <v>24</v>
      </c>
      <c r="BCO378">
        <v>0.05</v>
      </c>
      <c r="BCP378">
        <v>1</v>
      </c>
      <c r="BCQ378" t="s">
        <v>531</v>
      </c>
      <c r="BCR378" t="str">
        <f>"628669010033"</f>
        <v>628669010033</v>
      </c>
      <c r="BCS378" t="str">
        <f>"0419671"</f>
        <v>0419671</v>
      </c>
      <c r="BCT378" t="s">
        <v>199</v>
      </c>
      <c r="BCU378" t="s">
        <v>25</v>
      </c>
      <c r="BCV378">
        <v>24</v>
      </c>
      <c r="BCW378">
        <v>0.05</v>
      </c>
      <c r="BCX378">
        <v>1</v>
      </c>
      <c r="BCY378" t="s">
        <v>531</v>
      </c>
      <c r="BCZ378" t="str">
        <f>"628669010033"</f>
        <v>628669010033</v>
      </c>
      <c r="BDA378" t="str">
        <f>"0419671"</f>
        <v>0419671</v>
      </c>
      <c r="BDB378" t="s">
        <v>199</v>
      </c>
      <c r="BDC378" t="s">
        <v>25</v>
      </c>
      <c r="BDD378">
        <v>24</v>
      </c>
      <c r="BDE378">
        <v>0.05</v>
      </c>
      <c r="BDF378">
        <v>1</v>
      </c>
      <c r="BDG378" t="s">
        <v>531</v>
      </c>
      <c r="BDH378" t="str">
        <f>"628669010033"</f>
        <v>628669010033</v>
      </c>
      <c r="BDI378" t="str">
        <f>"0419671"</f>
        <v>0419671</v>
      </c>
      <c r="BDJ378" t="s">
        <v>199</v>
      </c>
      <c r="BDK378" t="s">
        <v>25</v>
      </c>
      <c r="BDL378">
        <v>24</v>
      </c>
      <c r="BDM378">
        <v>0.05</v>
      </c>
      <c r="BDN378">
        <v>1</v>
      </c>
      <c r="BDO378" t="s">
        <v>531</v>
      </c>
      <c r="BDP378" t="str">
        <f>"628669010033"</f>
        <v>628669010033</v>
      </c>
      <c r="BDQ378" t="str">
        <f>"0419671"</f>
        <v>0419671</v>
      </c>
      <c r="BDR378" t="s">
        <v>199</v>
      </c>
      <c r="BDS378" t="s">
        <v>25</v>
      </c>
      <c r="BDT378">
        <v>24</v>
      </c>
      <c r="BDU378">
        <v>0.05</v>
      </c>
      <c r="BDV378">
        <v>1</v>
      </c>
      <c r="BDW378" t="s">
        <v>531</v>
      </c>
      <c r="BDX378" t="str">
        <f>"628669010033"</f>
        <v>628669010033</v>
      </c>
      <c r="BDY378" t="str">
        <f>"0419671"</f>
        <v>0419671</v>
      </c>
      <c r="BDZ378" t="s">
        <v>199</v>
      </c>
      <c r="BEA378" t="s">
        <v>25</v>
      </c>
      <c r="BEB378">
        <v>24</v>
      </c>
      <c r="BEC378">
        <v>0.05</v>
      </c>
      <c r="BED378">
        <v>1</v>
      </c>
      <c r="BEE378" t="s">
        <v>531</v>
      </c>
      <c r="BEF378" t="str">
        <f>"628669010033"</f>
        <v>628669010033</v>
      </c>
      <c r="BEG378" t="str">
        <f>"0419671"</f>
        <v>0419671</v>
      </c>
      <c r="BEH378" t="s">
        <v>199</v>
      </c>
      <c r="BEI378" t="s">
        <v>25</v>
      </c>
      <c r="BEJ378">
        <v>24</v>
      </c>
      <c r="BEK378">
        <v>0.05</v>
      </c>
      <c r="BEL378">
        <v>1</v>
      </c>
      <c r="BEM378" t="s">
        <v>531</v>
      </c>
      <c r="BEN378" t="str">
        <f>"628669010033"</f>
        <v>628669010033</v>
      </c>
      <c r="BEO378" t="str">
        <f>"0419671"</f>
        <v>0419671</v>
      </c>
      <c r="BEP378" t="s">
        <v>199</v>
      </c>
      <c r="BEQ378" t="s">
        <v>25</v>
      </c>
      <c r="BER378">
        <v>24</v>
      </c>
      <c r="BES378">
        <v>0.05</v>
      </c>
      <c r="BET378">
        <v>1</v>
      </c>
      <c r="BEU378" t="s">
        <v>531</v>
      </c>
      <c r="BEV378" t="str">
        <f>"628669010033"</f>
        <v>628669010033</v>
      </c>
      <c r="BEW378" t="str">
        <f>"0419671"</f>
        <v>0419671</v>
      </c>
      <c r="BEX378" t="s">
        <v>199</v>
      </c>
      <c r="BEY378" t="s">
        <v>25</v>
      </c>
      <c r="BEZ378">
        <v>24</v>
      </c>
      <c r="BFA378">
        <v>0.05</v>
      </c>
      <c r="BFB378">
        <v>1</v>
      </c>
      <c r="BFC378" t="s">
        <v>531</v>
      </c>
      <c r="BFD378" t="str">
        <f>"628669010033"</f>
        <v>628669010033</v>
      </c>
      <c r="BFE378" t="str">
        <f>"0419671"</f>
        <v>0419671</v>
      </c>
      <c r="BFF378" t="s">
        <v>199</v>
      </c>
      <c r="BFG378" t="s">
        <v>25</v>
      </c>
      <c r="BFH378">
        <v>24</v>
      </c>
      <c r="BFI378">
        <v>0.05</v>
      </c>
      <c r="BFJ378">
        <v>1</v>
      </c>
      <c r="BFK378" t="s">
        <v>531</v>
      </c>
      <c r="BFL378" t="str">
        <f>"628669010033"</f>
        <v>628669010033</v>
      </c>
      <c r="BFM378" t="str">
        <f>"0419671"</f>
        <v>0419671</v>
      </c>
      <c r="BFN378" t="s">
        <v>199</v>
      </c>
      <c r="BFO378" t="s">
        <v>25</v>
      </c>
      <c r="BFP378">
        <v>24</v>
      </c>
      <c r="BFQ378">
        <v>0.05</v>
      </c>
      <c r="BFR378">
        <v>1</v>
      </c>
      <c r="BFS378" t="s">
        <v>531</v>
      </c>
      <c r="BFT378" t="str">
        <f>"628669010033"</f>
        <v>628669010033</v>
      </c>
      <c r="BFU378" t="str">
        <f>"0419671"</f>
        <v>0419671</v>
      </c>
      <c r="BFV378" t="s">
        <v>199</v>
      </c>
      <c r="BFW378" t="s">
        <v>25</v>
      </c>
      <c r="BFX378">
        <v>24</v>
      </c>
      <c r="BFY378">
        <v>0.05</v>
      </c>
      <c r="BFZ378">
        <v>1</v>
      </c>
      <c r="BGA378" t="s">
        <v>531</v>
      </c>
      <c r="BGB378" t="str">
        <f>"628669010033"</f>
        <v>628669010033</v>
      </c>
      <c r="BGC378" t="str">
        <f>"0419671"</f>
        <v>0419671</v>
      </c>
      <c r="BGD378" t="s">
        <v>199</v>
      </c>
      <c r="BGE378" t="s">
        <v>25</v>
      </c>
      <c r="BGF378">
        <v>24</v>
      </c>
      <c r="BGG378">
        <v>0.05</v>
      </c>
      <c r="BGH378">
        <v>1</v>
      </c>
      <c r="BGI378" t="s">
        <v>531</v>
      </c>
      <c r="BGJ378" t="str">
        <f>"628669010033"</f>
        <v>628669010033</v>
      </c>
      <c r="BGK378" t="str">
        <f>"0419671"</f>
        <v>0419671</v>
      </c>
      <c r="BGL378" t="s">
        <v>199</v>
      </c>
      <c r="BGM378" t="s">
        <v>25</v>
      </c>
      <c r="BGN378">
        <v>24</v>
      </c>
      <c r="BGO378">
        <v>0.05</v>
      </c>
      <c r="BGP378">
        <v>1</v>
      </c>
      <c r="BGQ378" t="s">
        <v>531</v>
      </c>
      <c r="BGR378" t="str">
        <f>"628669010033"</f>
        <v>628669010033</v>
      </c>
      <c r="BGS378" t="str">
        <f>"0419671"</f>
        <v>0419671</v>
      </c>
      <c r="BGT378" t="s">
        <v>199</v>
      </c>
      <c r="BGU378" t="s">
        <v>25</v>
      </c>
      <c r="BGV378">
        <v>24</v>
      </c>
      <c r="BGW378">
        <v>0.05</v>
      </c>
      <c r="BGX378">
        <v>1</v>
      </c>
      <c r="BGY378" t="s">
        <v>531</v>
      </c>
      <c r="BGZ378" t="str">
        <f>"628669010033"</f>
        <v>628669010033</v>
      </c>
      <c r="BHA378" t="str">
        <f>"0419671"</f>
        <v>0419671</v>
      </c>
      <c r="BHB378" t="s">
        <v>199</v>
      </c>
      <c r="BHC378" t="s">
        <v>25</v>
      </c>
      <c r="BHD378">
        <v>24</v>
      </c>
      <c r="BHE378">
        <v>0.05</v>
      </c>
      <c r="BHF378">
        <v>1</v>
      </c>
      <c r="BHG378" t="s">
        <v>531</v>
      </c>
      <c r="BHH378" t="str">
        <f>"628669010033"</f>
        <v>628669010033</v>
      </c>
      <c r="BHI378" t="str">
        <f>"0419671"</f>
        <v>0419671</v>
      </c>
      <c r="BHJ378" t="s">
        <v>199</v>
      </c>
      <c r="BHK378" t="s">
        <v>25</v>
      </c>
      <c r="BHL378">
        <v>24</v>
      </c>
      <c r="BHM378">
        <v>0.05</v>
      </c>
      <c r="BHN378">
        <v>1</v>
      </c>
      <c r="BHO378" t="s">
        <v>531</v>
      </c>
      <c r="BHP378" t="str">
        <f>"628669010033"</f>
        <v>628669010033</v>
      </c>
      <c r="BHQ378" t="str">
        <f>"0419671"</f>
        <v>0419671</v>
      </c>
      <c r="BHR378" t="s">
        <v>199</v>
      </c>
      <c r="BHS378" t="s">
        <v>25</v>
      </c>
      <c r="BHT378">
        <v>24</v>
      </c>
      <c r="BHU378">
        <v>0.05</v>
      </c>
      <c r="BHV378">
        <v>1</v>
      </c>
      <c r="BHW378" t="s">
        <v>531</v>
      </c>
      <c r="BHX378" t="str">
        <f>"628669010033"</f>
        <v>628669010033</v>
      </c>
      <c r="BHY378" t="str">
        <f>"0419671"</f>
        <v>0419671</v>
      </c>
      <c r="BHZ378" t="s">
        <v>199</v>
      </c>
      <c r="BIA378" t="s">
        <v>25</v>
      </c>
      <c r="BIB378">
        <v>24</v>
      </c>
      <c r="BIC378">
        <v>0.05</v>
      </c>
      <c r="BID378">
        <v>1</v>
      </c>
      <c r="BIE378" t="s">
        <v>531</v>
      </c>
      <c r="BIF378" t="str">
        <f>"628669010033"</f>
        <v>628669010033</v>
      </c>
      <c r="BIG378" t="str">
        <f>"0419671"</f>
        <v>0419671</v>
      </c>
      <c r="BIH378" t="s">
        <v>199</v>
      </c>
      <c r="BII378" t="s">
        <v>25</v>
      </c>
      <c r="BIJ378">
        <v>24</v>
      </c>
      <c r="BIK378">
        <v>0.05</v>
      </c>
      <c r="BIL378">
        <v>1</v>
      </c>
      <c r="BIM378" t="s">
        <v>531</v>
      </c>
      <c r="BIN378" t="str">
        <f>"628669010033"</f>
        <v>628669010033</v>
      </c>
      <c r="BIO378" t="str">
        <f>"0419671"</f>
        <v>0419671</v>
      </c>
      <c r="BIP378" t="s">
        <v>199</v>
      </c>
      <c r="BIQ378" t="s">
        <v>25</v>
      </c>
      <c r="BIR378">
        <v>24</v>
      </c>
      <c r="BIS378">
        <v>0.05</v>
      </c>
      <c r="BIT378">
        <v>1</v>
      </c>
      <c r="BIU378" t="s">
        <v>531</v>
      </c>
      <c r="BIV378" t="str">
        <f>"628669010033"</f>
        <v>628669010033</v>
      </c>
      <c r="BIW378" t="str">
        <f>"0419671"</f>
        <v>0419671</v>
      </c>
      <c r="BIX378" t="s">
        <v>199</v>
      </c>
      <c r="BIY378" t="s">
        <v>25</v>
      </c>
      <c r="BIZ378">
        <v>24</v>
      </c>
      <c r="BJA378">
        <v>0.05</v>
      </c>
      <c r="BJB378">
        <v>1</v>
      </c>
      <c r="BJC378" t="s">
        <v>531</v>
      </c>
      <c r="BJD378" t="str">
        <f>"628669010033"</f>
        <v>628669010033</v>
      </c>
      <c r="BJE378" t="str">
        <f>"0419671"</f>
        <v>0419671</v>
      </c>
      <c r="BJF378" t="s">
        <v>199</v>
      </c>
      <c r="BJG378" t="s">
        <v>25</v>
      </c>
      <c r="BJH378">
        <v>24</v>
      </c>
      <c r="BJI378">
        <v>0.05</v>
      </c>
      <c r="BJJ378">
        <v>1</v>
      </c>
      <c r="BJK378" t="s">
        <v>531</v>
      </c>
      <c r="BJL378" t="str">
        <f>"628669010033"</f>
        <v>628669010033</v>
      </c>
      <c r="BJM378" t="str">
        <f>"0419671"</f>
        <v>0419671</v>
      </c>
      <c r="BJN378" t="s">
        <v>199</v>
      </c>
      <c r="BJO378" t="s">
        <v>25</v>
      </c>
      <c r="BJP378">
        <v>24</v>
      </c>
      <c r="BJQ378">
        <v>0.05</v>
      </c>
      <c r="BJR378">
        <v>1</v>
      </c>
      <c r="BJS378" t="s">
        <v>531</v>
      </c>
      <c r="BJT378" t="str">
        <f>"628669010033"</f>
        <v>628669010033</v>
      </c>
      <c r="BJU378" t="str">
        <f>"0419671"</f>
        <v>0419671</v>
      </c>
      <c r="BJV378" t="s">
        <v>199</v>
      </c>
      <c r="BJW378" t="s">
        <v>25</v>
      </c>
      <c r="BJX378">
        <v>24</v>
      </c>
      <c r="BJY378">
        <v>0.05</v>
      </c>
      <c r="BJZ378">
        <v>1</v>
      </c>
      <c r="BKA378" t="s">
        <v>531</v>
      </c>
      <c r="BKB378" t="str">
        <f>"628669010033"</f>
        <v>628669010033</v>
      </c>
      <c r="BKC378" t="str">
        <f>"0419671"</f>
        <v>0419671</v>
      </c>
      <c r="BKD378" t="s">
        <v>199</v>
      </c>
      <c r="BKE378" t="s">
        <v>25</v>
      </c>
      <c r="BKF378">
        <v>24</v>
      </c>
      <c r="BKG378">
        <v>0.05</v>
      </c>
      <c r="BKH378">
        <v>1</v>
      </c>
      <c r="BKI378" t="s">
        <v>531</v>
      </c>
      <c r="BKJ378" t="str">
        <f>"628669010033"</f>
        <v>628669010033</v>
      </c>
      <c r="BKK378" t="str">
        <f>"0419671"</f>
        <v>0419671</v>
      </c>
      <c r="BKL378" t="s">
        <v>199</v>
      </c>
      <c r="BKM378" t="s">
        <v>25</v>
      </c>
      <c r="BKN378">
        <v>24</v>
      </c>
      <c r="BKO378">
        <v>0.05</v>
      </c>
      <c r="BKP378">
        <v>1</v>
      </c>
      <c r="BKQ378" t="s">
        <v>531</v>
      </c>
      <c r="BKR378" t="str">
        <f>"628669010033"</f>
        <v>628669010033</v>
      </c>
      <c r="BKS378" t="str">
        <f>"0419671"</f>
        <v>0419671</v>
      </c>
      <c r="BKT378" t="s">
        <v>199</v>
      </c>
      <c r="BKU378" t="s">
        <v>25</v>
      </c>
      <c r="BKV378">
        <v>24</v>
      </c>
      <c r="BKW378">
        <v>0.05</v>
      </c>
      <c r="BKX378">
        <v>1</v>
      </c>
      <c r="BKY378" t="s">
        <v>531</v>
      </c>
      <c r="BKZ378" t="str">
        <f>"628669010033"</f>
        <v>628669010033</v>
      </c>
      <c r="BLA378" t="str">
        <f>"0419671"</f>
        <v>0419671</v>
      </c>
      <c r="BLB378" t="s">
        <v>199</v>
      </c>
      <c r="BLC378" t="s">
        <v>25</v>
      </c>
      <c r="BLD378">
        <v>24</v>
      </c>
      <c r="BLE378">
        <v>0.05</v>
      </c>
      <c r="BLF378">
        <v>1</v>
      </c>
      <c r="BLG378" t="s">
        <v>531</v>
      </c>
      <c r="BLH378" t="str">
        <f>"628669010033"</f>
        <v>628669010033</v>
      </c>
      <c r="BLI378" t="str">
        <f>"0419671"</f>
        <v>0419671</v>
      </c>
      <c r="BLJ378" t="s">
        <v>199</v>
      </c>
      <c r="BLK378" t="s">
        <v>25</v>
      </c>
      <c r="BLL378">
        <v>24</v>
      </c>
      <c r="BLM378">
        <v>0.05</v>
      </c>
      <c r="BLN378">
        <v>1</v>
      </c>
      <c r="BLO378" t="s">
        <v>531</v>
      </c>
      <c r="BLP378" t="str">
        <f>"628669010033"</f>
        <v>628669010033</v>
      </c>
      <c r="BLQ378" t="str">
        <f>"0419671"</f>
        <v>0419671</v>
      </c>
      <c r="BLR378" t="s">
        <v>199</v>
      </c>
      <c r="BLS378" t="s">
        <v>25</v>
      </c>
      <c r="BLT378">
        <v>24</v>
      </c>
      <c r="BLU378">
        <v>0.05</v>
      </c>
      <c r="BLV378">
        <v>1</v>
      </c>
      <c r="BLW378" t="s">
        <v>531</v>
      </c>
      <c r="BLX378" t="str">
        <f>"628669010033"</f>
        <v>628669010033</v>
      </c>
      <c r="BLY378" t="str">
        <f>"0419671"</f>
        <v>0419671</v>
      </c>
      <c r="BLZ378" t="s">
        <v>199</v>
      </c>
      <c r="BMA378" t="s">
        <v>25</v>
      </c>
      <c r="BMB378">
        <v>24</v>
      </c>
      <c r="BMC378">
        <v>0.05</v>
      </c>
      <c r="BMD378">
        <v>1</v>
      </c>
      <c r="BME378" t="s">
        <v>531</v>
      </c>
      <c r="BMF378" t="str">
        <f>"628669010033"</f>
        <v>628669010033</v>
      </c>
      <c r="BMG378" t="str">
        <f>"0419671"</f>
        <v>0419671</v>
      </c>
      <c r="BMH378" t="s">
        <v>199</v>
      </c>
      <c r="BMI378" t="s">
        <v>25</v>
      </c>
      <c r="BMJ378">
        <v>24</v>
      </c>
      <c r="BMK378">
        <v>0.05</v>
      </c>
      <c r="BML378">
        <v>1</v>
      </c>
      <c r="BMM378" t="s">
        <v>531</v>
      </c>
      <c r="BMN378" t="str">
        <f>"628669010033"</f>
        <v>628669010033</v>
      </c>
      <c r="BMO378" t="str">
        <f>"0419671"</f>
        <v>0419671</v>
      </c>
      <c r="BMP378" t="s">
        <v>199</v>
      </c>
      <c r="BMQ378" t="s">
        <v>25</v>
      </c>
      <c r="BMR378">
        <v>24</v>
      </c>
      <c r="BMS378">
        <v>0.05</v>
      </c>
      <c r="BMT378">
        <v>1</v>
      </c>
      <c r="BMU378" t="s">
        <v>531</v>
      </c>
      <c r="BMV378" t="str">
        <f>"628669010033"</f>
        <v>628669010033</v>
      </c>
      <c r="BMW378" t="str">
        <f>"0419671"</f>
        <v>0419671</v>
      </c>
      <c r="BMX378" t="s">
        <v>199</v>
      </c>
      <c r="BMY378" t="s">
        <v>25</v>
      </c>
      <c r="BMZ378">
        <v>24</v>
      </c>
      <c r="BNA378">
        <v>0.05</v>
      </c>
      <c r="BNB378">
        <v>1</v>
      </c>
      <c r="BNC378" t="s">
        <v>531</v>
      </c>
      <c r="BND378" t="str">
        <f>"628669010033"</f>
        <v>628669010033</v>
      </c>
      <c r="BNE378" t="str">
        <f>"0419671"</f>
        <v>0419671</v>
      </c>
      <c r="BNF378" t="s">
        <v>199</v>
      </c>
      <c r="BNG378" t="s">
        <v>25</v>
      </c>
      <c r="BNH378">
        <v>24</v>
      </c>
      <c r="BNI378">
        <v>0.05</v>
      </c>
      <c r="BNJ378">
        <v>1</v>
      </c>
      <c r="BNK378" t="s">
        <v>531</v>
      </c>
      <c r="BNL378" t="str">
        <f>"628669010033"</f>
        <v>628669010033</v>
      </c>
      <c r="BNM378" t="str">
        <f>"0419671"</f>
        <v>0419671</v>
      </c>
      <c r="BNN378" t="s">
        <v>199</v>
      </c>
      <c r="BNO378" t="s">
        <v>25</v>
      </c>
      <c r="BNP378">
        <v>24</v>
      </c>
      <c r="BNQ378">
        <v>0.05</v>
      </c>
      <c r="BNR378">
        <v>1</v>
      </c>
      <c r="BNS378" t="s">
        <v>531</v>
      </c>
      <c r="BNT378" t="str">
        <f>"628669010033"</f>
        <v>628669010033</v>
      </c>
      <c r="BNU378" t="str">
        <f>"0419671"</f>
        <v>0419671</v>
      </c>
      <c r="BNV378" t="s">
        <v>199</v>
      </c>
      <c r="BNW378" t="s">
        <v>25</v>
      </c>
      <c r="BNX378">
        <v>24</v>
      </c>
      <c r="BNY378">
        <v>0.05</v>
      </c>
      <c r="BNZ378">
        <v>1</v>
      </c>
      <c r="BOA378" t="s">
        <v>531</v>
      </c>
      <c r="BOB378" t="str">
        <f>"628669010033"</f>
        <v>628669010033</v>
      </c>
      <c r="BOC378" t="str">
        <f>"0419671"</f>
        <v>0419671</v>
      </c>
      <c r="BOD378" t="s">
        <v>199</v>
      </c>
      <c r="BOE378" t="s">
        <v>25</v>
      </c>
      <c r="BOF378">
        <v>24</v>
      </c>
      <c r="BOG378">
        <v>0.05</v>
      </c>
      <c r="BOH378">
        <v>1</v>
      </c>
      <c r="BOI378" t="s">
        <v>531</v>
      </c>
      <c r="BOJ378" t="str">
        <f>"628669010033"</f>
        <v>628669010033</v>
      </c>
      <c r="BOK378" t="str">
        <f>"0419671"</f>
        <v>0419671</v>
      </c>
      <c r="BOL378" t="s">
        <v>199</v>
      </c>
      <c r="BOM378" t="s">
        <v>25</v>
      </c>
      <c r="BON378">
        <v>24</v>
      </c>
      <c r="BOO378">
        <v>0.05</v>
      </c>
      <c r="BOP378">
        <v>1</v>
      </c>
      <c r="BOQ378" t="s">
        <v>531</v>
      </c>
      <c r="BOR378" t="str">
        <f>"628669010033"</f>
        <v>628669010033</v>
      </c>
      <c r="BOS378" t="str">
        <f>"0419671"</f>
        <v>0419671</v>
      </c>
      <c r="BOT378" t="s">
        <v>199</v>
      </c>
      <c r="BOU378" t="s">
        <v>25</v>
      </c>
      <c r="BOV378">
        <v>24</v>
      </c>
      <c r="BOW378">
        <v>0.05</v>
      </c>
      <c r="BOX378">
        <v>1</v>
      </c>
      <c r="BOY378" t="s">
        <v>531</v>
      </c>
      <c r="BOZ378" t="str">
        <f>"628669010033"</f>
        <v>628669010033</v>
      </c>
      <c r="BPA378" t="str">
        <f>"0419671"</f>
        <v>0419671</v>
      </c>
      <c r="BPB378" t="s">
        <v>199</v>
      </c>
      <c r="BPC378" t="s">
        <v>25</v>
      </c>
      <c r="BPD378">
        <v>24</v>
      </c>
      <c r="BPE378">
        <v>0.05</v>
      </c>
      <c r="BPF378">
        <v>1</v>
      </c>
      <c r="BPG378" t="s">
        <v>531</v>
      </c>
      <c r="BPH378" t="str">
        <f>"628669010033"</f>
        <v>628669010033</v>
      </c>
      <c r="BPI378" t="str">
        <f>"0419671"</f>
        <v>0419671</v>
      </c>
      <c r="BPJ378" t="s">
        <v>199</v>
      </c>
      <c r="BPK378" t="s">
        <v>25</v>
      </c>
      <c r="BPL378">
        <v>24</v>
      </c>
      <c r="BPM378">
        <v>0.05</v>
      </c>
      <c r="BPN378">
        <v>1</v>
      </c>
      <c r="BPO378" t="s">
        <v>531</v>
      </c>
      <c r="BPP378" t="str">
        <f>"628669010033"</f>
        <v>628669010033</v>
      </c>
      <c r="BPQ378" t="str">
        <f>"0419671"</f>
        <v>0419671</v>
      </c>
      <c r="BPR378" t="s">
        <v>199</v>
      </c>
      <c r="BPS378" t="s">
        <v>25</v>
      </c>
      <c r="BPT378">
        <v>24</v>
      </c>
      <c r="BPU378">
        <v>0.05</v>
      </c>
      <c r="BPV378">
        <v>1</v>
      </c>
      <c r="BPW378" t="s">
        <v>531</v>
      </c>
      <c r="BPX378" t="str">
        <f>"628669010033"</f>
        <v>628669010033</v>
      </c>
      <c r="BPY378" t="str">
        <f>"0419671"</f>
        <v>0419671</v>
      </c>
      <c r="BPZ378" t="s">
        <v>199</v>
      </c>
      <c r="BQA378" t="s">
        <v>25</v>
      </c>
      <c r="BQB378">
        <v>24</v>
      </c>
      <c r="BQC378">
        <v>0.05</v>
      </c>
      <c r="BQD378">
        <v>1</v>
      </c>
      <c r="BQE378" t="s">
        <v>531</v>
      </c>
      <c r="BQF378" t="str">
        <f>"628669010033"</f>
        <v>628669010033</v>
      </c>
      <c r="BQG378" t="str">
        <f>"0419671"</f>
        <v>0419671</v>
      </c>
      <c r="BQH378" t="s">
        <v>199</v>
      </c>
      <c r="BQI378" t="s">
        <v>25</v>
      </c>
      <c r="BQJ378">
        <v>24</v>
      </c>
      <c r="BQK378">
        <v>0.05</v>
      </c>
      <c r="BQL378">
        <v>1</v>
      </c>
      <c r="BQM378" t="s">
        <v>531</v>
      </c>
      <c r="BQN378" t="str">
        <f>"628669010033"</f>
        <v>628669010033</v>
      </c>
      <c r="BQO378" t="str">
        <f>"0419671"</f>
        <v>0419671</v>
      </c>
      <c r="BQP378" t="s">
        <v>199</v>
      </c>
      <c r="BQQ378" t="s">
        <v>25</v>
      </c>
      <c r="BQR378">
        <v>24</v>
      </c>
      <c r="BQS378">
        <v>0.05</v>
      </c>
      <c r="BQT378">
        <v>1</v>
      </c>
      <c r="BQU378" t="s">
        <v>531</v>
      </c>
      <c r="BQV378" t="str">
        <f>"628669010033"</f>
        <v>628669010033</v>
      </c>
      <c r="BQW378" t="str">
        <f>"0419671"</f>
        <v>0419671</v>
      </c>
      <c r="BQX378" t="s">
        <v>199</v>
      </c>
      <c r="BQY378" t="s">
        <v>25</v>
      </c>
      <c r="BQZ378">
        <v>24</v>
      </c>
      <c r="BRA378">
        <v>0.05</v>
      </c>
      <c r="BRB378">
        <v>1</v>
      </c>
      <c r="BRC378" t="s">
        <v>531</v>
      </c>
      <c r="BRD378" t="str">
        <f>"628669010033"</f>
        <v>628669010033</v>
      </c>
      <c r="BRE378" t="str">
        <f>"0419671"</f>
        <v>0419671</v>
      </c>
      <c r="BRF378" t="s">
        <v>199</v>
      </c>
      <c r="BRG378" t="s">
        <v>25</v>
      </c>
      <c r="BRH378">
        <v>24</v>
      </c>
      <c r="BRI378">
        <v>0.05</v>
      </c>
      <c r="BRJ378">
        <v>1</v>
      </c>
      <c r="BRK378" t="s">
        <v>531</v>
      </c>
      <c r="BRL378" t="str">
        <f>"628669010033"</f>
        <v>628669010033</v>
      </c>
      <c r="BRM378" t="str">
        <f>"0419671"</f>
        <v>0419671</v>
      </c>
      <c r="BRN378" t="s">
        <v>199</v>
      </c>
      <c r="BRO378" t="s">
        <v>25</v>
      </c>
      <c r="BRP378">
        <v>24</v>
      </c>
      <c r="BRQ378">
        <v>0.05</v>
      </c>
      <c r="BRR378">
        <v>1</v>
      </c>
      <c r="BRS378" t="s">
        <v>531</v>
      </c>
      <c r="BRT378" t="str">
        <f>"628669010033"</f>
        <v>628669010033</v>
      </c>
      <c r="BRU378" t="str">
        <f>"0419671"</f>
        <v>0419671</v>
      </c>
      <c r="BRV378" t="s">
        <v>199</v>
      </c>
      <c r="BRW378" t="s">
        <v>25</v>
      </c>
      <c r="BRX378">
        <v>24</v>
      </c>
      <c r="BRY378">
        <v>0.05</v>
      </c>
      <c r="BRZ378">
        <v>1</v>
      </c>
      <c r="BSA378" t="s">
        <v>531</v>
      </c>
      <c r="BSB378" t="str">
        <f>"628669010033"</f>
        <v>628669010033</v>
      </c>
      <c r="BSC378" t="str">
        <f>"0419671"</f>
        <v>0419671</v>
      </c>
      <c r="BSD378" t="s">
        <v>199</v>
      </c>
      <c r="BSE378" t="s">
        <v>25</v>
      </c>
      <c r="BSF378">
        <v>24</v>
      </c>
      <c r="BSG378">
        <v>0.05</v>
      </c>
      <c r="BSH378">
        <v>1</v>
      </c>
      <c r="BSI378" t="s">
        <v>531</v>
      </c>
      <c r="BSJ378" t="str">
        <f>"628669010033"</f>
        <v>628669010033</v>
      </c>
      <c r="BSK378" t="str">
        <f>"0419671"</f>
        <v>0419671</v>
      </c>
      <c r="BSL378" t="s">
        <v>199</v>
      </c>
      <c r="BSM378" t="s">
        <v>25</v>
      </c>
      <c r="BSN378">
        <v>24</v>
      </c>
      <c r="BSO378">
        <v>0.05</v>
      </c>
      <c r="BSP378">
        <v>1</v>
      </c>
      <c r="BSQ378" t="s">
        <v>531</v>
      </c>
      <c r="BSR378" t="str">
        <f>"628669010033"</f>
        <v>628669010033</v>
      </c>
      <c r="BSS378" t="str">
        <f>"0419671"</f>
        <v>0419671</v>
      </c>
      <c r="BST378" t="s">
        <v>199</v>
      </c>
      <c r="BSU378" t="s">
        <v>25</v>
      </c>
      <c r="BSV378">
        <v>24</v>
      </c>
      <c r="BSW378">
        <v>0.05</v>
      </c>
      <c r="BSX378">
        <v>1</v>
      </c>
      <c r="BSY378" t="s">
        <v>531</v>
      </c>
      <c r="BSZ378" t="str">
        <f>"628669010033"</f>
        <v>628669010033</v>
      </c>
      <c r="BTA378" t="str">
        <f>"0419671"</f>
        <v>0419671</v>
      </c>
      <c r="BTB378" t="s">
        <v>199</v>
      </c>
      <c r="BTC378" t="s">
        <v>25</v>
      </c>
      <c r="BTD378">
        <v>24</v>
      </c>
      <c r="BTE378">
        <v>0.05</v>
      </c>
      <c r="BTF378">
        <v>1</v>
      </c>
      <c r="BTG378" t="s">
        <v>531</v>
      </c>
      <c r="BTH378" t="str">
        <f>"628669010033"</f>
        <v>628669010033</v>
      </c>
      <c r="BTI378" t="str">
        <f>"0419671"</f>
        <v>0419671</v>
      </c>
      <c r="BTJ378" t="s">
        <v>199</v>
      </c>
      <c r="BTK378" t="s">
        <v>25</v>
      </c>
      <c r="BTL378">
        <v>24</v>
      </c>
      <c r="BTM378">
        <v>0.05</v>
      </c>
      <c r="BTN378">
        <v>1</v>
      </c>
      <c r="BTO378" t="s">
        <v>531</v>
      </c>
      <c r="BTP378" t="str">
        <f>"628669010033"</f>
        <v>628669010033</v>
      </c>
      <c r="BTQ378" t="str">
        <f>"0419671"</f>
        <v>0419671</v>
      </c>
      <c r="BTR378" t="s">
        <v>199</v>
      </c>
      <c r="BTS378" t="s">
        <v>25</v>
      </c>
      <c r="BTT378">
        <v>24</v>
      </c>
      <c r="BTU378">
        <v>0.05</v>
      </c>
      <c r="BTV378">
        <v>1</v>
      </c>
      <c r="BTW378" t="s">
        <v>531</v>
      </c>
      <c r="BTX378" t="str">
        <f>"628669010033"</f>
        <v>628669010033</v>
      </c>
      <c r="BTY378" t="str">
        <f>"0419671"</f>
        <v>0419671</v>
      </c>
      <c r="BTZ378" t="s">
        <v>199</v>
      </c>
      <c r="BUA378" t="s">
        <v>25</v>
      </c>
      <c r="BUB378">
        <v>24</v>
      </c>
      <c r="BUC378">
        <v>0.05</v>
      </c>
      <c r="BUD378">
        <v>1</v>
      </c>
      <c r="BUE378" t="s">
        <v>531</v>
      </c>
      <c r="BUF378" t="str">
        <f>"628669010033"</f>
        <v>628669010033</v>
      </c>
      <c r="BUG378" t="str">
        <f>"0419671"</f>
        <v>0419671</v>
      </c>
      <c r="BUH378" t="s">
        <v>199</v>
      </c>
      <c r="BUI378" t="s">
        <v>25</v>
      </c>
      <c r="BUJ378">
        <v>24</v>
      </c>
      <c r="BUK378">
        <v>0.05</v>
      </c>
      <c r="BUL378">
        <v>1</v>
      </c>
      <c r="BUM378" t="s">
        <v>531</v>
      </c>
      <c r="BUN378" t="str">
        <f>"628669010033"</f>
        <v>628669010033</v>
      </c>
      <c r="BUO378" t="str">
        <f>"0419671"</f>
        <v>0419671</v>
      </c>
      <c r="BUP378" t="s">
        <v>199</v>
      </c>
      <c r="BUQ378" t="s">
        <v>25</v>
      </c>
      <c r="BUR378">
        <v>24</v>
      </c>
      <c r="BUS378">
        <v>0.05</v>
      </c>
      <c r="BUT378">
        <v>1</v>
      </c>
      <c r="BUU378" t="s">
        <v>531</v>
      </c>
      <c r="BUV378" t="str">
        <f>"628669010033"</f>
        <v>628669010033</v>
      </c>
      <c r="BUW378" t="str">
        <f>"0419671"</f>
        <v>0419671</v>
      </c>
      <c r="BUX378" t="s">
        <v>199</v>
      </c>
      <c r="BUY378" t="s">
        <v>25</v>
      </c>
      <c r="BUZ378">
        <v>24</v>
      </c>
      <c r="BVA378">
        <v>0.05</v>
      </c>
      <c r="BVB378">
        <v>1</v>
      </c>
      <c r="BVC378" t="s">
        <v>531</v>
      </c>
      <c r="BVD378" t="str">
        <f>"628669010033"</f>
        <v>628669010033</v>
      </c>
      <c r="BVE378" t="str">
        <f>"0419671"</f>
        <v>0419671</v>
      </c>
      <c r="BVF378" t="s">
        <v>199</v>
      </c>
      <c r="BVG378" t="s">
        <v>25</v>
      </c>
      <c r="BVH378">
        <v>24</v>
      </c>
      <c r="BVI378">
        <v>0.05</v>
      </c>
      <c r="BVJ378">
        <v>1</v>
      </c>
      <c r="BVK378" t="s">
        <v>531</v>
      </c>
      <c r="BVL378" t="str">
        <f>"628669010033"</f>
        <v>628669010033</v>
      </c>
      <c r="BVM378" t="str">
        <f>"0419671"</f>
        <v>0419671</v>
      </c>
      <c r="BVN378" t="s">
        <v>199</v>
      </c>
      <c r="BVO378" t="s">
        <v>25</v>
      </c>
      <c r="BVP378">
        <v>24</v>
      </c>
      <c r="BVQ378">
        <v>0.05</v>
      </c>
      <c r="BVR378">
        <v>1</v>
      </c>
      <c r="BVS378" t="s">
        <v>531</v>
      </c>
      <c r="BVT378" t="str">
        <f>"628669010033"</f>
        <v>628669010033</v>
      </c>
      <c r="BVU378" t="str">
        <f>"0419671"</f>
        <v>0419671</v>
      </c>
      <c r="BVV378" t="s">
        <v>199</v>
      </c>
      <c r="BVW378" t="s">
        <v>25</v>
      </c>
      <c r="BVX378">
        <v>24</v>
      </c>
      <c r="BVY378">
        <v>0.05</v>
      </c>
      <c r="BVZ378">
        <v>1</v>
      </c>
      <c r="BWA378" t="s">
        <v>531</v>
      </c>
      <c r="BWB378" t="str">
        <f>"628669010033"</f>
        <v>628669010033</v>
      </c>
      <c r="BWC378" t="str">
        <f>"0419671"</f>
        <v>0419671</v>
      </c>
      <c r="BWD378" t="s">
        <v>199</v>
      </c>
      <c r="BWE378" t="s">
        <v>25</v>
      </c>
      <c r="BWF378">
        <v>24</v>
      </c>
      <c r="BWG378">
        <v>0.05</v>
      </c>
      <c r="BWH378">
        <v>1</v>
      </c>
      <c r="BWI378" t="s">
        <v>531</v>
      </c>
      <c r="BWJ378" t="str">
        <f>"628669010033"</f>
        <v>628669010033</v>
      </c>
      <c r="BWK378" t="str">
        <f>"0419671"</f>
        <v>0419671</v>
      </c>
      <c r="BWL378" t="s">
        <v>199</v>
      </c>
      <c r="BWM378" t="s">
        <v>25</v>
      </c>
      <c r="BWN378">
        <v>24</v>
      </c>
      <c r="BWO378">
        <v>0.05</v>
      </c>
      <c r="BWP378">
        <v>1</v>
      </c>
      <c r="BWQ378" t="s">
        <v>531</v>
      </c>
      <c r="BWR378" t="str">
        <f>"628669010033"</f>
        <v>628669010033</v>
      </c>
      <c r="BWS378" t="str">
        <f>"0419671"</f>
        <v>0419671</v>
      </c>
      <c r="BWT378" t="s">
        <v>199</v>
      </c>
      <c r="BWU378" t="s">
        <v>25</v>
      </c>
      <c r="BWV378">
        <v>24</v>
      </c>
      <c r="BWW378">
        <v>0.05</v>
      </c>
      <c r="BWX378">
        <v>1</v>
      </c>
      <c r="BWY378" t="s">
        <v>531</v>
      </c>
      <c r="BWZ378" t="str">
        <f>"628669010033"</f>
        <v>628669010033</v>
      </c>
      <c r="BXA378" t="str">
        <f>"0419671"</f>
        <v>0419671</v>
      </c>
      <c r="BXB378" t="s">
        <v>199</v>
      </c>
      <c r="BXC378" t="s">
        <v>25</v>
      </c>
      <c r="BXD378">
        <v>24</v>
      </c>
      <c r="BXE378">
        <v>0.05</v>
      </c>
      <c r="BXF378">
        <v>1</v>
      </c>
      <c r="BXG378" t="s">
        <v>531</v>
      </c>
      <c r="BXH378" t="str">
        <f>"628669010033"</f>
        <v>628669010033</v>
      </c>
      <c r="BXI378" t="str">
        <f>"0419671"</f>
        <v>0419671</v>
      </c>
      <c r="BXJ378" t="s">
        <v>199</v>
      </c>
      <c r="BXK378" t="s">
        <v>25</v>
      </c>
      <c r="BXL378">
        <v>24</v>
      </c>
      <c r="BXM378">
        <v>0.05</v>
      </c>
      <c r="BXN378">
        <v>1</v>
      </c>
      <c r="BXO378" t="s">
        <v>531</v>
      </c>
      <c r="BXP378" t="str">
        <f>"628669010033"</f>
        <v>628669010033</v>
      </c>
      <c r="BXQ378" t="str">
        <f>"0419671"</f>
        <v>0419671</v>
      </c>
      <c r="BXR378" t="s">
        <v>199</v>
      </c>
      <c r="BXS378" t="s">
        <v>25</v>
      </c>
      <c r="BXT378">
        <v>24</v>
      </c>
      <c r="BXU378">
        <v>0.05</v>
      </c>
      <c r="BXV378">
        <v>1</v>
      </c>
      <c r="BXW378" t="s">
        <v>531</v>
      </c>
      <c r="BXX378" t="str">
        <f>"628669010033"</f>
        <v>628669010033</v>
      </c>
      <c r="BXY378" t="str">
        <f>"0419671"</f>
        <v>0419671</v>
      </c>
      <c r="BXZ378" t="s">
        <v>199</v>
      </c>
      <c r="BYA378" t="s">
        <v>25</v>
      </c>
      <c r="BYB378">
        <v>24</v>
      </c>
      <c r="BYC378">
        <v>0.05</v>
      </c>
      <c r="BYD378">
        <v>1</v>
      </c>
      <c r="BYE378" t="s">
        <v>531</v>
      </c>
      <c r="BYF378" t="str">
        <f>"628669010033"</f>
        <v>628669010033</v>
      </c>
      <c r="BYG378" t="str">
        <f>"0419671"</f>
        <v>0419671</v>
      </c>
      <c r="BYH378" t="s">
        <v>199</v>
      </c>
      <c r="BYI378" t="s">
        <v>25</v>
      </c>
      <c r="BYJ378">
        <v>24</v>
      </c>
      <c r="BYK378">
        <v>0.05</v>
      </c>
      <c r="BYL378">
        <v>1</v>
      </c>
      <c r="BYM378" t="s">
        <v>531</v>
      </c>
      <c r="BYN378" t="str">
        <f>"628669010033"</f>
        <v>628669010033</v>
      </c>
      <c r="BYO378" t="str">
        <f>"0419671"</f>
        <v>0419671</v>
      </c>
      <c r="BYP378" t="s">
        <v>199</v>
      </c>
      <c r="BYQ378" t="s">
        <v>25</v>
      </c>
      <c r="BYR378">
        <v>24</v>
      </c>
      <c r="BYS378">
        <v>0.05</v>
      </c>
      <c r="BYT378">
        <v>1</v>
      </c>
      <c r="BYU378" t="s">
        <v>531</v>
      </c>
      <c r="BYV378" t="str">
        <f>"628669010033"</f>
        <v>628669010033</v>
      </c>
      <c r="BYW378" t="str">
        <f>"0419671"</f>
        <v>0419671</v>
      </c>
      <c r="BYX378" t="s">
        <v>199</v>
      </c>
      <c r="BYY378" t="s">
        <v>25</v>
      </c>
      <c r="BYZ378">
        <v>24</v>
      </c>
      <c r="BZA378">
        <v>0.05</v>
      </c>
      <c r="BZB378">
        <v>1</v>
      </c>
      <c r="BZC378" t="s">
        <v>531</v>
      </c>
      <c r="BZD378" t="str">
        <f>"628669010033"</f>
        <v>628669010033</v>
      </c>
      <c r="BZE378" t="str">
        <f>"0419671"</f>
        <v>0419671</v>
      </c>
      <c r="BZF378" t="s">
        <v>199</v>
      </c>
      <c r="BZG378" t="s">
        <v>25</v>
      </c>
      <c r="BZH378">
        <v>24</v>
      </c>
      <c r="BZI378">
        <v>0.05</v>
      </c>
      <c r="BZJ378">
        <v>1</v>
      </c>
      <c r="BZK378" t="s">
        <v>531</v>
      </c>
      <c r="BZL378" t="str">
        <f>"628669010033"</f>
        <v>628669010033</v>
      </c>
      <c r="BZM378" t="str">
        <f>"0419671"</f>
        <v>0419671</v>
      </c>
      <c r="BZN378" t="s">
        <v>199</v>
      </c>
      <c r="BZO378" t="s">
        <v>25</v>
      </c>
      <c r="BZP378">
        <v>24</v>
      </c>
      <c r="BZQ378">
        <v>0.05</v>
      </c>
      <c r="BZR378">
        <v>1</v>
      </c>
      <c r="BZS378" t="s">
        <v>531</v>
      </c>
      <c r="BZT378" t="str">
        <f>"628669010033"</f>
        <v>628669010033</v>
      </c>
      <c r="BZU378" t="str">
        <f>"0419671"</f>
        <v>0419671</v>
      </c>
      <c r="BZV378" t="s">
        <v>199</v>
      </c>
      <c r="BZW378" t="s">
        <v>25</v>
      </c>
      <c r="BZX378">
        <v>24</v>
      </c>
      <c r="BZY378">
        <v>0.05</v>
      </c>
      <c r="BZZ378">
        <v>1</v>
      </c>
      <c r="CAA378" t="s">
        <v>531</v>
      </c>
      <c r="CAB378" t="str">
        <f>"628669010033"</f>
        <v>628669010033</v>
      </c>
      <c r="CAC378" t="str">
        <f>"0419671"</f>
        <v>0419671</v>
      </c>
      <c r="CAD378" t="s">
        <v>199</v>
      </c>
      <c r="CAE378" t="s">
        <v>25</v>
      </c>
      <c r="CAF378">
        <v>24</v>
      </c>
      <c r="CAG378">
        <v>0.05</v>
      </c>
      <c r="CAH378">
        <v>1</v>
      </c>
      <c r="CAI378" t="s">
        <v>531</v>
      </c>
      <c r="CAJ378" t="str">
        <f>"628669010033"</f>
        <v>628669010033</v>
      </c>
      <c r="CAK378" t="str">
        <f>"0419671"</f>
        <v>0419671</v>
      </c>
      <c r="CAL378" t="s">
        <v>199</v>
      </c>
      <c r="CAM378" t="s">
        <v>25</v>
      </c>
      <c r="CAN378">
        <v>24</v>
      </c>
      <c r="CAO378">
        <v>0.05</v>
      </c>
      <c r="CAP378">
        <v>1</v>
      </c>
      <c r="CAQ378" t="s">
        <v>531</v>
      </c>
      <c r="CAR378" t="str">
        <f>"628669010033"</f>
        <v>628669010033</v>
      </c>
      <c r="CAS378" t="str">
        <f>"0419671"</f>
        <v>0419671</v>
      </c>
      <c r="CAT378" t="s">
        <v>199</v>
      </c>
      <c r="CAU378" t="s">
        <v>25</v>
      </c>
      <c r="CAV378">
        <v>24</v>
      </c>
      <c r="CAW378">
        <v>0.05</v>
      </c>
      <c r="CAX378">
        <v>1</v>
      </c>
      <c r="CAY378" t="s">
        <v>531</v>
      </c>
      <c r="CAZ378" t="str">
        <f>"628669010033"</f>
        <v>628669010033</v>
      </c>
      <c r="CBA378" t="str">
        <f>"0419671"</f>
        <v>0419671</v>
      </c>
      <c r="CBB378" t="s">
        <v>199</v>
      </c>
      <c r="CBC378" t="s">
        <v>25</v>
      </c>
      <c r="CBD378">
        <v>24</v>
      </c>
      <c r="CBE378">
        <v>0.05</v>
      </c>
      <c r="CBF378">
        <v>1</v>
      </c>
      <c r="CBG378" t="s">
        <v>531</v>
      </c>
      <c r="CBH378" t="str">
        <f>"628669010033"</f>
        <v>628669010033</v>
      </c>
      <c r="CBI378" t="str">
        <f>"0419671"</f>
        <v>0419671</v>
      </c>
      <c r="CBJ378" t="s">
        <v>199</v>
      </c>
      <c r="CBK378" t="s">
        <v>25</v>
      </c>
      <c r="CBL378">
        <v>24</v>
      </c>
      <c r="CBM378">
        <v>0.05</v>
      </c>
      <c r="CBN378">
        <v>1</v>
      </c>
      <c r="CBO378" t="s">
        <v>531</v>
      </c>
      <c r="CBP378" t="str">
        <f>"628669010033"</f>
        <v>628669010033</v>
      </c>
      <c r="CBQ378" t="str">
        <f>"0419671"</f>
        <v>0419671</v>
      </c>
      <c r="CBR378" t="s">
        <v>199</v>
      </c>
      <c r="CBS378" t="s">
        <v>25</v>
      </c>
      <c r="CBT378">
        <v>24</v>
      </c>
      <c r="CBU378">
        <v>0.05</v>
      </c>
      <c r="CBV378">
        <v>1</v>
      </c>
      <c r="CBW378" t="s">
        <v>531</v>
      </c>
      <c r="CBX378" t="str">
        <f>"628669010033"</f>
        <v>628669010033</v>
      </c>
      <c r="CBY378" t="str">
        <f>"0419671"</f>
        <v>0419671</v>
      </c>
      <c r="CBZ378" t="s">
        <v>199</v>
      </c>
      <c r="CCA378" t="s">
        <v>25</v>
      </c>
      <c r="CCB378">
        <v>24</v>
      </c>
      <c r="CCC378">
        <v>0.05</v>
      </c>
      <c r="CCD378">
        <v>1</v>
      </c>
      <c r="CCE378" t="s">
        <v>531</v>
      </c>
      <c r="CCF378" t="str">
        <f>"628669010033"</f>
        <v>628669010033</v>
      </c>
      <c r="CCG378" t="str">
        <f>"0419671"</f>
        <v>0419671</v>
      </c>
      <c r="CCH378" t="s">
        <v>199</v>
      </c>
      <c r="CCI378" t="s">
        <v>25</v>
      </c>
      <c r="CCJ378">
        <v>24</v>
      </c>
      <c r="CCK378">
        <v>0.05</v>
      </c>
      <c r="CCL378">
        <v>1</v>
      </c>
      <c r="CCM378" t="s">
        <v>531</v>
      </c>
      <c r="CCN378" t="str">
        <f>"628669010033"</f>
        <v>628669010033</v>
      </c>
      <c r="CCO378" t="str">
        <f>"0419671"</f>
        <v>0419671</v>
      </c>
      <c r="CCP378" t="s">
        <v>199</v>
      </c>
      <c r="CCQ378" t="s">
        <v>25</v>
      </c>
      <c r="CCR378">
        <v>24</v>
      </c>
      <c r="CCS378">
        <v>0.05</v>
      </c>
      <c r="CCT378">
        <v>1</v>
      </c>
      <c r="CCU378" t="s">
        <v>531</v>
      </c>
      <c r="CCV378" t="str">
        <f>"628669010033"</f>
        <v>628669010033</v>
      </c>
      <c r="CCW378" t="str">
        <f>"0419671"</f>
        <v>0419671</v>
      </c>
      <c r="CCX378" t="s">
        <v>199</v>
      </c>
      <c r="CCY378" t="s">
        <v>25</v>
      </c>
      <c r="CCZ378">
        <v>24</v>
      </c>
      <c r="CDA378">
        <v>0.05</v>
      </c>
      <c r="CDB378">
        <v>1</v>
      </c>
      <c r="CDC378" t="s">
        <v>531</v>
      </c>
      <c r="CDD378" t="str">
        <f>"628669010033"</f>
        <v>628669010033</v>
      </c>
      <c r="CDE378" t="str">
        <f>"0419671"</f>
        <v>0419671</v>
      </c>
      <c r="CDF378" t="s">
        <v>199</v>
      </c>
      <c r="CDG378" t="s">
        <v>25</v>
      </c>
      <c r="CDH378">
        <v>24</v>
      </c>
      <c r="CDI378">
        <v>0.05</v>
      </c>
      <c r="CDJ378">
        <v>1</v>
      </c>
      <c r="CDK378" t="s">
        <v>531</v>
      </c>
      <c r="CDL378" t="str">
        <f>"628669010033"</f>
        <v>628669010033</v>
      </c>
      <c r="CDM378" t="str">
        <f>"0419671"</f>
        <v>0419671</v>
      </c>
      <c r="CDN378" t="s">
        <v>199</v>
      </c>
      <c r="CDO378" t="s">
        <v>25</v>
      </c>
      <c r="CDP378">
        <v>24</v>
      </c>
      <c r="CDQ378">
        <v>0.05</v>
      </c>
      <c r="CDR378">
        <v>1</v>
      </c>
      <c r="CDS378" t="s">
        <v>531</v>
      </c>
      <c r="CDT378" t="str">
        <f>"628669010033"</f>
        <v>628669010033</v>
      </c>
      <c r="CDU378" t="str">
        <f>"0419671"</f>
        <v>0419671</v>
      </c>
      <c r="CDV378" t="s">
        <v>199</v>
      </c>
      <c r="CDW378" t="s">
        <v>25</v>
      </c>
      <c r="CDX378">
        <v>24</v>
      </c>
      <c r="CDY378">
        <v>0.05</v>
      </c>
      <c r="CDZ378">
        <v>1</v>
      </c>
      <c r="CEA378" t="s">
        <v>531</v>
      </c>
      <c r="CEB378" t="str">
        <f>"628669010033"</f>
        <v>628669010033</v>
      </c>
      <c r="CEC378" t="str">
        <f>"0419671"</f>
        <v>0419671</v>
      </c>
      <c r="CED378" t="s">
        <v>199</v>
      </c>
      <c r="CEE378" t="s">
        <v>25</v>
      </c>
      <c r="CEF378">
        <v>24</v>
      </c>
      <c r="CEG378">
        <v>0.05</v>
      </c>
      <c r="CEH378">
        <v>1</v>
      </c>
      <c r="CEI378" t="s">
        <v>531</v>
      </c>
      <c r="CEJ378" t="str">
        <f>"628669010033"</f>
        <v>628669010033</v>
      </c>
      <c r="CEK378" t="str">
        <f>"0419671"</f>
        <v>0419671</v>
      </c>
      <c r="CEL378" t="s">
        <v>199</v>
      </c>
      <c r="CEM378" t="s">
        <v>25</v>
      </c>
      <c r="CEN378">
        <v>24</v>
      </c>
      <c r="CEO378">
        <v>0.05</v>
      </c>
      <c r="CEP378">
        <v>1</v>
      </c>
      <c r="CEQ378" t="s">
        <v>531</v>
      </c>
      <c r="CER378" t="str">
        <f>"628669010033"</f>
        <v>628669010033</v>
      </c>
      <c r="CES378" t="str">
        <f>"0419671"</f>
        <v>0419671</v>
      </c>
      <c r="CET378" t="s">
        <v>199</v>
      </c>
      <c r="CEU378" t="s">
        <v>25</v>
      </c>
      <c r="CEV378">
        <v>24</v>
      </c>
      <c r="CEW378">
        <v>0.05</v>
      </c>
      <c r="CEX378">
        <v>1</v>
      </c>
      <c r="CEY378" t="s">
        <v>531</v>
      </c>
      <c r="CEZ378" t="str">
        <f>"628669010033"</f>
        <v>628669010033</v>
      </c>
      <c r="CFA378" t="str">
        <f>"0419671"</f>
        <v>0419671</v>
      </c>
      <c r="CFB378" t="s">
        <v>199</v>
      </c>
      <c r="CFC378" t="s">
        <v>25</v>
      </c>
      <c r="CFD378">
        <v>24</v>
      </c>
      <c r="CFE378">
        <v>0.05</v>
      </c>
      <c r="CFF378">
        <v>1</v>
      </c>
      <c r="CFG378" t="s">
        <v>531</v>
      </c>
      <c r="CFH378" t="str">
        <f>"628669010033"</f>
        <v>628669010033</v>
      </c>
      <c r="CFI378" t="str">
        <f>"0419671"</f>
        <v>0419671</v>
      </c>
      <c r="CFJ378" t="s">
        <v>199</v>
      </c>
      <c r="CFK378" t="s">
        <v>25</v>
      </c>
      <c r="CFL378">
        <v>24</v>
      </c>
      <c r="CFM378">
        <v>0.05</v>
      </c>
      <c r="CFN378">
        <v>1</v>
      </c>
      <c r="CFO378" t="s">
        <v>531</v>
      </c>
      <c r="CFP378" t="str">
        <f>"628669010033"</f>
        <v>628669010033</v>
      </c>
      <c r="CFQ378" t="str">
        <f>"0419671"</f>
        <v>0419671</v>
      </c>
      <c r="CFR378" t="s">
        <v>199</v>
      </c>
      <c r="CFS378" t="s">
        <v>25</v>
      </c>
      <c r="CFT378">
        <v>24</v>
      </c>
      <c r="CFU378">
        <v>0.05</v>
      </c>
      <c r="CFV378">
        <v>1</v>
      </c>
      <c r="CFW378" t="s">
        <v>531</v>
      </c>
      <c r="CFX378" t="str">
        <f>"628669010033"</f>
        <v>628669010033</v>
      </c>
      <c r="CFY378" t="str">
        <f>"0419671"</f>
        <v>0419671</v>
      </c>
      <c r="CFZ378" t="s">
        <v>199</v>
      </c>
      <c r="CGA378" t="s">
        <v>25</v>
      </c>
      <c r="CGB378">
        <v>24</v>
      </c>
      <c r="CGC378">
        <v>0.05</v>
      </c>
      <c r="CGD378">
        <v>1</v>
      </c>
      <c r="CGE378" t="s">
        <v>531</v>
      </c>
      <c r="CGF378" t="str">
        <f>"628669010033"</f>
        <v>628669010033</v>
      </c>
      <c r="CGG378" t="str">
        <f>"0419671"</f>
        <v>0419671</v>
      </c>
      <c r="CGH378" t="s">
        <v>199</v>
      </c>
      <c r="CGI378" t="s">
        <v>25</v>
      </c>
      <c r="CGJ378">
        <v>24</v>
      </c>
      <c r="CGK378">
        <v>0.05</v>
      </c>
      <c r="CGL378">
        <v>1</v>
      </c>
      <c r="CGM378" t="s">
        <v>531</v>
      </c>
      <c r="CGN378" t="str">
        <f>"628669010033"</f>
        <v>628669010033</v>
      </c>
      <c r="CGO378" t="str">
        <f>"0419671"</f>
        <v>0419671</v>
      </c>
      <c r="CGP378" t="s">
        <v>199</v>
      </c>
      <c r="CGQ378" t="s">
        <v>25</v>
      </c>
      <c r="CGR378">
        <v>24</v>
      </c>
      <c r="CGS378">
        <v>0.05</v>
      </c>
      <c r="CGT378">
        <v>1</v>
      </c>
      <c r="CGU378" t="s">
        <v>531</v>
      </c>
      <c r="CGV378" t="str">
        <f>"628669010033"</f>
        <v>628669010033</v>
      </c>
      <c r="CGW378" t="str">
        <f>"0419671"</f>
        <v>0419671</v>
      </c>
      <c r="CGX378" t="s">
        <v>199</v>
      </c>
      <c r="CGY378" t="s">
        <v>25</v>
      </c>
      <c r="CGZ378">
        <v>24</v>
      </c>
      <c r="CHA378">
        <v>0.05</v>
      </c>
      <c r="CHB378">
        <v>1</v>
      </c>
      <c r="CHC378" t="s">
        <v>531</v>
      </c>
      <c r="CHD378" t="str">
        <f>"628669010033"</f>
        <v>628669010033</v>
      </c>
      <c r="CHE378" t="str">
        <f>"0419671"</f>
        <v>0419671</v>
      </c>
      <c r="CHF378" t="s">
        <v>199</v>
      </c>
      <c r="CHG378" t="s">
        <v>25</v>
      </c>
      <c r="CHH378">
        <v>24</v>
      </c>
      <c r="CHI378">
        <v>0.05</v>
      </c>
      <c r="CHJ378">
        <v>1</v>
      </c>
      <c r="CHK378" t="s">
        <v>531</v>
      </c>
      <c r="CHL378" t="str">
        <f>"628669010033"</f>
        <v>628669010033</v>
      </c>
      <c r="CHM378" t="str">
        <f>"0419671"</f>
        <v>0419671</v>
      </c>
      <c r="CHN378" t="s">
        <v>199</v>
      </c>
      <c r="CHO378" t="s">
        <v>25</v>
      </c>
      <c r="CHP378">
        <v>24</v>
      </c>
      <c r="CHQ378">
        <v>0.05</v>
      </c>
      <c r="CHR378">
        <v>1</v>
      </c>
      <c r="CHS378" t="s">
        <v>531</v>
      </c>
      <c r="CHT378" t="str">
        <f>"628669010033"</f>
        <v>628669010033</v>
      </c>
      <c r="CHU378" t="str">
        <f>"0419671"</f>
        <v>0419671</v>
      </c>
      <c r="CHV378" t="s">
        <v>199</v>
      </c>
      <c r="CHW378" t="s">
        <v>25</v>
      </c>
      <c r="CHX378">
        <v>24</v>
      </c>
      <c r="CHY378">
        <v>0.05</v>
      </c>
      <c r="CHZ378">
        <v>1</v>
      </c>
      <c r="CIA378" t="s">
        <v>531</v>
      </c>
      <c r="CIB378" t="str">
        <f>"628669010033"</f>
        <v>628669010033</v>
      </c>
      <c r="CIC378" t="str">
        <f>"0419671"</f>
        <v>0419671</v>
      </c>
      <c r="CID378" t="s">
        <v>199</v>
      </c>
      <c r="CIE378" t="s">
        <v>25</v>
      </c>
      <c r="CIF378">
        <v>24</v>
      </c>
      <c r="CIG378">
        <v>0.05</v>
      </c>
      <c r="CIH378">
        <v>1</v>
      </c>
      <c r="CII378" t="s">
        <v>531</v>
      </c>
      <c r="CIJ378" t="str">
        <f>"628669010033"</f>
        <v>628669010033</v>
      </c>
      <c r="CIK378" t="str">
        <f>"0419671"</f>
        <v>0419671</v>
      </c>
      <c r="CIL378" t="s">
        <v>199</v>
      </c>
      <c r="CIM378" t="s">
        <v>25</v>
      </c>
      <c r="CIN378">
        <v>24</v>
      </c>
      <c r="CIO378">
        <v>0.05</v>
      </c>
      <c r="CIP378">
        <v>1</v>
      </c>
      <c r="CIQ378" t="s">
        <v>531</v>
      </c>
      <c r="CIR378" t="str">
        <f>"628669010033"</f>
        <v>628669010033</v>
      </c>
      <c r="CIS378" t="str">
        <f>"0419671"</f>
        <v>0419671</v>
      </c>
      <c r="CIT378" t="s">
        <v>199</v>
      </c>
      <c r="CIU378" t="s">
        <v>25</v>
      </c>
      <c r="CIV378">
        <v>24</v>
      </c>
      <c r="CIW378">
        <v>0.05</v>
      </c>
      <c r="CIX378">
        <v>1</v>
      </c>
      <c r="CIY378" t="s">
        <v>531</v>
      </c>
      <c r="CIZ378" t="str">
        <f>"628669010033"</f>
        <v>628669010033</v>
      </c>
      <c r="CJA378" t="str">
        <f>"0419671"</f>
        <v>0419671</v>
      </c>
      <c r="CJB378" t="s">
        <v>199</v>
      </c>
      <c r="CJC378" t="s">
        <v>25</v>
      </c>
      <c r="CJD378">
        <v>24</v>
      </c>
      <c r="CJE378">
        <v>0.05</v>
      </c>
      <c r="CJF378">
        <v>1</v>
      </c>
      <c r="CJG378" t="s">
        <v>531</v>
      </c>
      <c r="CJH378" t="str">
        <f>"628669010033"</f>
        <v>628669010033</v>
      </c>
      <c r="CJI378" t="str">
        <f>"0419671"</f>
        <v>0419671</v>
      </c>
      <c r="CJJ378" t="s">
        <v>199</v>
      </c>
      <c r="CJK378" t="s">
        <v>25</v>
      </c>
      <c r="CJL378">
        <v>24</v>
      </c>
      <c r="CJM378">
        <v>0.05</v>
      </c>
      <c r="CJN378">
        <v>1</v>
      </c>
      <c r="CJO378" t="s">
        <v>531</v>
      </c>
      <c r="CJP378" t="str">
        <f>"628669010033"</f>
        <v>628669010033</v>
      </c>
      <c r="CJQ378" t="str">
        <f>"0419671"</f>
        <v>0419671</v>
      </c>
      <c r="CJR378" t="s">
        <v>199</v>
      </c>
      <c r="CJS378" t="s">
        <v>25</v>
      </c>
      <c r="CJT378">
        <v>24</v>
      </c>
      <c r="CJU378">
        <v>0.05</v>
      </c>
      <c r="CJV378">
        <v>1</v>
      </c>
      <c r="CJW378" t="s">
        <v>531</v>
      </c>
      <c r="CJX378" t="str">
        <f>"628669010033"</f>
        <v>628669010033</v>
      </c>
      <c r="CJY378" t="str">
        <f>"0419671"</f>
        <v>0419671</v>
      </c>
      <c r="CJZ378" t="s">
        <v>199</v>
      </c>
      <c r="CKA378" t="s">
        <v>25</v>
      </c>
      <c r="CKB378">
        <v>24</v>
      </c>
      <c r="CKC378">
        <v>0.05</v>
      </c>
      <c r="CKD378">
        <v>1</v>
      </c>
      <c r="CKE378" t="s">
        <v>531</v>
      </c>
      <c r="CKF378" t="str">
        <f>"628669010033"</f>
        <v>628669010033</v>
      </c>
      <c r="CKG378" t="str">
        <f>"0419671"</f>
        <v>0419671</v>
      </c>
      <c r="CKH378" t="s">
        <v>199</v>
      </c>
      <c r="CKI378" t="s">
        <v>25</v>
      </c>
      <c r="CKJ378">
        <v>24</v>
      </c>
      <c r="CKK378">
        <v>0.05</v>
      </c>
      <c r="CKL378">
        <v>1</v>
      </c>
      <c r="CKM378" t="s">
        <v>531</v>
      </c>
      <c r="CKN378" t="str">
        <f>"628669010033"</f>
        <v>628669010033</v>
      </c>
      <c r="CKO378" t="str">
        <f>"0419671"</f>
        <v>0419671</v>
      </c>
      <c r="CKP378" t="s">
        <v>199</v>
      </c>
      <c r="CKQ378" t="s">
        <v>25</v>
      </c>
      <c r="CKR378">
        <v>24</v>
      </c>
      <c r="CKS378">
        <v>0.05</v>
      </c>
      <c r="CKT378">
        <v>1</v>
      </c>
      <c r="CKU378" t="s">
        <v>531</v>
      </c>
      <c r="CKV378" t="str">
        <f>"628669010033"</f>
        <v>628669010033</v>
      </c>
      <c r="CKW378" t="str">
        <f>"0419671"</f>
        <v>0419671</v>
      </c>
      <c r="CKX378" t="s">
        <v>199</v>
      </c>
      <c r="CKY378" t="s">
        <v>25</v>
      </c>
      <c r="CKZ378">
        <v>24</v>
      </c>
      <c r="CLA378">
        <v>0.05</v>
      </c>
      <c r="CLB378">
        <v>1</v>
      </c>
      <c r="CLC378" t="s">
        <v>531</v>
      </c>
      <c r="CLD378" t="str">
        <f>"628669010033"</f>
        <v>628669010033</v>
      </c>
      <c r="CLE378" t="str">
        <f>"0419671"</f>
        <v>0419671</v>
      </c>
      <c r="CLF378" t="s">
        <v>199</v>
      </c>
      <c r="CLG378" t="s">
        <v>25</v>
      </c>
      <c r="CLH378">
        <v>24</v>
      </c>
      <c r="CLI378">
        <v>0.05</v>
      </c>
      <c r="CLJ378">
        <v>1</v>
      </c>
      <c r="CLK378" t="s">
        <v>531</v>
      </c>
      <c r="CLL378" t="str">
        <f>"628669010033"</f>
        <v>628669010033</v>
      </c>
      <c r="CLM378" t="str">
        <f>"0419671"</f>
        <v>0419671</v>
      </c>
      <c r="CLN378" t="s">
        <v>199</v>
      </c>
      <c r="CLO378" t="s">
        <v>25</v>
      </c>
      <c r="CLP378">
        <v>24</v>
      </c>
      <c r="CLQ378">
        <v>0.05</v>
      </c>
      <c r="CLR378">
        <v>1</v>
      </c>
      <c r="CLS378" t="s">
        <v>531</v>
      </c>
      <c r="CLT378" t="str">
        <f>"628669010033"</f>
        <v>628669010033</v>
      </c>
      <c r="CLU378" t="str">
        <f>"0419671"</f>
        <v>0419671</v>
      </c>
      <c r="CLV378" t="s">
        <v>199</v>
      </c>
      <c r="CLW378" t="s">
        <v>25</v>
      </c>
      <c r="CLX378">
        <v>24</v>
      </c>
      <c r="CLY378">
        <v>0.05</v>
      </c>
      <c r="CLZ378">
        <v>1</v>
      </c>
      <c r="CMA378" t="s">
        <v>531</v>
      </c>
      <c r="CMB378" t="str">
        <f>"628669010033"</f>
        <v>628669010033</v>
      </c>
      <c r="CMC378" t="str">
        <f>"0419671"</f>
        <v>0419671</v>
      </c>
      <c r="CMD378" t="s">
        <v>199</v>
      </c>
      <c r="CME378" t="s">
        <v>25</v>
      </c>
      <c r="CMF378">
        <v>24</v>
      </c>
      <c r="CMG378">
        <v>0.05</v>
      </c>
      <c r="CMH378">
        <v>1</v>
      </c>
      <c r="CMI378" t="s">
        <v>531</v>
      </c>
      <c r="CMJ378" t="str">
        <f>"628669010033"</f>
        <v>628669010033</v>
      </c>
      <c r="CMK378" t="str">
        <f>"0419671"</f>
        <v>0419671</v>
      </c>
      <c r="CML378" t="s">
        <v>199</v>
      </c>
      <c r="CMM378" t="s">
        <v>25</v>
      </c>
      <c r="CMN378">
        <v>24</v>
      </c>
      <c r="CMO378">
        <v>0.05</v>
      </c>
      <c r="CMP378">
        <v>1</v>
      </c>
      <c r="CMQ378" t="s">
        <v>531</v>
      </c>
      <c r="CMR378" t="str">
        <f>"628669010033"</f>
        <v>628669010033</v>
      </c>
      <c r="CMS378" t="str">
        <f>"0419671"</f>
        <v>0419671</v>
      </c>
      <c r="CMT378" t="s">
        <v>199</v>
      </c>
      <c r="CMU378" t="s">
        <v>25</v>
      </c>
      <c r="CMV378">
        <v>24</v>
      </c>
      <c r="CMW378">
        <v>0.05</v>
      </c>
      <c r="CMX378">
        <v>1</v>
      </c>
      <c r="CMY378" t="s">
        <v>531</v>
      </c>
      <c r="CMZ378" t="str">
        <f>"628669010033"</f>
        <v>628669010033</v>
      </c>
      <c r="CNA378" t="str">
        <f>"0419671"</f>
        <v>0419671</v>
      </c>
      <c r="CNB378" t="s">
        <v>199</v>
      </c>
      <c r="CNC378" t="s">
        <v>25</v>
      </c>
      <c r="CND378">
        <v>24</v>
      </c>
      <c r="CNE378">
        <v>0.05</v>
      </c>
      <c r="CNF378">
        <v>1</v>
      </c>
      <c r="CNG378" t="s">
        <v>531</v>
      </c>
      <c r="CNH378" t="str">
        <f>"628669010033"</f>
        <v>628669010033</v>
      </c>
      <c r="CNI378" t="str">
        <f>"0419671"</f>
        <v>0419671</v>
      </c>
      <c r="CNJ378" t="s">
        <v>199</v>
      </c>
      <c r="CNK378" t="s">
        <v>25</v>
      </c>
      <c r="CNL378">
        <v>24</v>
      </c>
      <c r="CNM378">
        <v>0.05</v>
      </c>
      <c r="CNN378">
        <v>1</v>
      </c>
      <c r="CNO378" t="s">
        <v>531</v>
      </c>
      <c r="CNP378" t="str">
        <f>"628669010033"</f>
        <v>628669010033</v>
      </c>
      <c r="CNQ378" t="str">
        <f>"0419671"</f>
        <v>0419671</v>
      </c>
      <c r="CNR378" t="s">
        <v>199</v>
      </c>
      <c r="CNS378" t="s">
        <v>25</v>
      </c>
      <c r="CNT378">
        <v>24</v>
      </c>
      <c r="CNU378">
        <v>0.05</v>
      </c>
      <c r="CNV378">
        <v>1</v>
      </c>
      <c r="CNW378" t="s">
        <v>531</v>
      </c>
      <c r="CNX378" t="str">
        <f>"628669010033"</f>
        <v>628669010033</v>
      </c>
      <c r="CNY378" t="str">
        <f>"0419671"</f>
        <v>0419671</v>
      </c>
      <c r="CNZ378" t="s">
        <v>199</v>
      </c>
      <c r="COA378" t="s">
        <v>25</v>
      </c>
      <c r="COB378">
        <v>24</v>
      </c>
      <c r="COC378">
        <v>0.05</v>
      </c>
      <c r="COD378">
        <v>1</v>
      </c>
      <c r="COE378" t="s">
        <v>531</v>
      </c>
      <c r="COF378" t="str">
        <f>"628669010033"</f>
        <v>628669010033</v>
      </c>
      <c r="COG378" t="str">
        <f>"0419671"</f>
        <v>0419671</v>
      </c>
      <c r="COH378" t="s">
        <v>199</v>
      </c>
      <c r="COI378" t="s">
        <v>25</v>
      </c>
      <c r="COJ378">
        <v>24</v>
      </c>
      <c r="COK378">
        <v>0.05</v>
      </c>
      <c r="COL378">
        <v>1</v>
      </c>
      <c r="COM378" t="s">
        <v>531</v>
      </c>
      <c r="CON378" t="str">
        <f>"628669010033"</f>
        <v>628669010033</v>
      </c>
      <c r="COO378" t="str">
        <f>"0419671"</f>
        <v>0419671</v>
      </c>
      <c r="COP378" t="s">
        <v>199</v>
      </c>
      <c r="COQ378" t="s">
        <v>25</v>
      </c>
      <c r="COR378">
        <v>24</v>
      </c>
      <c r="COS378">
        <v>0.05</v>
      </c>
      <c r="COT378">
        <v>1</v>
      </c>
      <c r="COU378" t="s">
        <v>531</v>
      </c>
      <c r="COV378" t="str">
        <f>"628669010033"</f>
        <v>628669010033</v>
      </c>
      <c r="COW378" t="str">
        <f>"0419671"</f>
        <v>0419671</v>
      </c>
      <c r="COX378" t="s">
        <v>199</v>
      </c>
      <c r="COY378" t="s">
        <v>25</v>
      </c>
      <c r="COZ378">
        <v>24</v>
      </c>
      <c r="CPA378">
        <v>0.05</v>
      </c>
      <c r="CPB378">
        <v>1</v>
      </c>
      <c r="CPC378" t="s">
        <v>531</v>
      </c>
      <c r="CPD378" t="str">
        <f>"628669010033"</f>
        <v>628669010033</v>
      </c>
      <c r="CPE378" t="str">
        <f>"0419671"</f>
        <v>0419671</v>
      </c>
      <c r="CPF378" t="s">
        <v>199</v>
      </c>
      <c r="CPG378" t="s">
        <v>25</v>
      </c>
      <c r="CPH378">
        <v>24</v>
      </c>
      <c r="CPI378">
        <v>0.05</v>
      </c>
      <c r="CPJ378">
        <v>1</v>
      </c>
      <c r="CPK378" t="s">
        <v>531</v>
      </c>
      <c r="CPL378" t="str">
        <f>"628669010033"</f>
        <v>628669010033</v>
      </c>
      <c r="CPM378" t="str">
        <f>"0419671"</f>
        <v>0419671</v>
      </c>
      <c r="CPN378" t="s">
        <v>199</v>
      </c>
      <c r="CPO378" t="s">
        <v>25</v>
      </c>
      <c r="CPP378">
        <v>24</v>
      </c>
      <c r="CPQ378">
        <v>0.05</v>
      </c>
      <c r="CPR378">
        <v>1</v>
      </c>
      <c r="CPS378" t="s">
        <v>531</v>
      </c>
      <c r="CPT378" t="str">
        <f>"628669010033"</f>
        <v>628669010033</v>
      </c>
      <c r="CPU378" t="str">
        <f>"0419671"</f>
        <v>0419671</v>
      </c>
      <c r="CPV378" t="s">
        <v>199</v>
      </c>
      <c r="CPW378" t="s">
        <v>25</v>
      </c>
      <c r="CPX378">
        <v>24</v>
      </c>
      <c r="CPY378">
        <v>0.05</v>
      </c>
      <c r="CPZ378">
        <v>1</v>
      </c>
      <c r="CQA378" t="s">
        <v>531</v>
      </c>
      <c r="CQB378" t="str">
        <f>"628669010033"</f>
        <v>628669010033</v>
      </c>
      <c r="CQC378" t="str">
        <f>"0419671"</f>
        <v>0419671</v>
      </c>
      <c r="CQD378" t="s">
        <v>199</v>
      </c>
      <c r="CQE378" t="s">
        <v>25</v>
      </c>
      <c r="CQF378">
        <v>24</v>
      </c>
      <c r="CQG378">
        <v>0.05</v>
      </c>
      <c r="CQH378">
        <v>1</v>
      </c>
      <c r="CQI378" t="s">
        <v>531</v>
      </c>
      <c r="CQJ378" t="str">
        <f>"628669010033"</f>
        <v>628669010033</v>
      </c>
      <c r="CQK378" t="str">
        <f>"0419671"</f>
        <v>0419671</v>
      </c>
      <c r="CQL378" t="s">
        <v>199</v>
      </c>
      <c r="CQM378" t="s">
        <v>25</v>
      </c>
      <c r="CQN378">
        <v>24</v>
      </c>
      <c r="CQO378">
        <v>0.05</v>
      </c>
      <c r="CQP378">
        <v>1</v>
      </c>
      <c r="CQQ378" t="s">
        <v>531</v>
      </c>
      <c r="CQR378" t="str">
        <f>"628669010033"</f>
        <v>628669010033</v>
      </c>
      <c r="CQS378" t="str">
        <f>"0419671"</f>
        <v>0419671</v>
      </c>
      <c r="CQT378" t="s">
        <v>199</v>
      </c>
      <c r="CQU378" t="s">
        <v>25</v>
      </c>
      <c r="CQV378">
        <v>24</v>
      </c>
      <c r="CQW378">
        <v>0.05</v>
      </c>
      <c r="CQX378">
        <v>1</v>
      </c>
      <c r="CQY378" t="s">
        <v>531</v>
      </c>
      <c r="CQZ378" t="str">
        <f>"628669010033"</f>
        <v>628669010033</v>
      </c>
      <c r="CRA378" t="str">
        <f>"0419671"</f>
        <v>0419671</v>
      </c>
      <c r="CRB378" t="s">
        <v>199</v>
      </c>
      <c r="CRC378" t="s">
        <v>25</v>
      </c>
      <c r="CRD378">
        <v>24</v>
      </c>
      <c r="CRE378">
        <v>0.05</v>
      </c>
      <c r="CRF378">
        <v>1</v>
      </c>
      <c r="CRG378" t="s">
        <v>531</v>
      </c>
      <c r="CRH378" t="str">
        <f>"628669010033"</f>
        <v>628669010033</v>
      </c>
      <c r="CRI378" t="str">
        <f>"0419671"</f>
        <v>0419671</v>
      </c>
      <c r="CRJ378" t="s">
        <v>199</v>
      </c>
      <c r="CRK378" t="s">
        <v>25</v>
      </c>
      <c r="CRL378">
        <v>24</v>
      </c>
      <c r="CRM378">
        <v>0.05</v>
      </c>
      <c r="CRN378">
        <v>1</v>
      </c>
      <c r="CRO378" t="s">
        <v>531</v>
      </c>
      <c r="CRP378" t="str">
        <f>"628669010033"</f>
        <v>628669010033</v>
      </c>
      <c r="CRQ378" t="str">
        <f>"0419671"</f>
        <v>0419671</v>
      </c>
      <c r="CRR378" t="s">
        <v>199</v>
      </c>
      <c r="CRS378" t="s">
        <v>25</v>
      </c>
      <c r="CRT378">
        <v>24</v>
      </c>
      <c r="CRU378">
        <v>0.05</v>
      </c>
      <c r="CRV378">
        <v>1</v>
      </c>
      <c r="CRW378" t="s">
        <v>531</v>
      </c>
      <c r="CRX378" t="str">
        <f>"628669010033"</f>
        <v>628669010033</v>
      </c>
      <c r="CRY378" t="str">
        <f>"0419671"</f>
        <v>0419671</v>
      </c>
      <c r="CRZ378" t="s">
        <v>199</v>
      </c>
      <c r="CSA378" t="s">
        <v>25</v>
      </c>
      <c r="CSB378">
        <v>24</v>
      </c>
      <c r="CSC378">
        <v>0.05</v>
      </c>
      <c r="CSD378">
        <v>1</v>
      </c>
      <c r="CSE378" t="s">
        <v>531</v>
      </c>
      <c r="CSF378" t="str">
        <f>"628669010033"</f>
        <v>628669010033</v>
      </c>
      <c r="CSG378" t="str">
        <f>"0419671"</f>
        <v>0419671</v>
      </c>
      <c r="CSH378" t="s">
        <v>199</v>
      </c>
      <c r="CSI378" t="s">
        <v>25</v>
      </c>
      <c r="CSJ378">
        <v>24</v>
      </c>
      <c r="CSK378">
        <v>0.05</v>
      </c>
      <c r="CSL378">
        <v>1</v>
      </c>
      <c r="CSM378" t="s">
        <v>531</v>
      </c>
      <c r="CSN378" t="str">
        <f>"628669010033"</f>
        <v>628669010033</v>
      </c>
      <c r="CSO378" t="str">
        <f>"0419671"</f>
        <v>0419671</v>
      </c>
      <c r="CSP378" t="s">
        <v>199</v>
      </c>
      <c r="CSQ378" t="s">
        <v>25</v>
      </c>
      <c r="CSR378">
        <v>24</v>
      </c>
      <c r="CSS378">
        <v>0.05</v>
      </c>
      <c r="CST378">
        <v>1</v>
      </c>
      <c r="CSU378" t="s">
        <v>531</v>
      </c>
      <c r="CSV378" t="str">
        <f>"628669010033"</f>
        <v>628669010033</v>
      </c>
      <c r="CSW378" t="str">
        <f>"0419671"</f>
        <v>0419671</v>
      </c>
      <c r="CSX378" t="s">
        <v>199</v>
      </c>
      <c r="CSY378" t="s">
        <v>25</v>
      </c>
      <c r="CSZ378">
        <v>24</v>
      </c>
      <c r="CTA378">
        <v>0.05</v>
      </c>
      <c r="CTB378">
        <v>1</v>
      </c>
      <c r="CTC378" t="s">
        <v>531</v>
      </c>
      <c r="CTD378" t="str">
        <f>"628669010033"</f>
        <v>628669010033</v>
      </c>
      <c r="CTE378" t="str">
        <f>"0419671"</f>
        <v>0419671</v>
      </c>
      <c r="CTF378" t="s">
        <v>199</v>
      </c>
      <c r="CTG378" t="s">
        <v>25</v>
      </c>
      <c r="CTH378">
        <v>24</v>
      </c>
      <c r="CTI378">
        <v>0.05</v>
      </c>
      <c r="CTJ378">
        <v>1</v>
      </c>
      <c r="CTK378" t="s">
        <v>531</v>
      </c>
      <c r="CTL378" t="str">
        <f>"628669010033"</f>
        <v>628669010033</v>
      </c>
      <c r="CTM378" t="str">
        <f>"0419671"</f>
        <v>0419671</v>
      </c>
      <c r="CTN378" t="s">
        <v>199</v>
      </c>
      <c r="CTO378" t="s">
        <v>25</v>
      </c>
      <c r="CTP378">
        <v>24</v>
      </c>
      <c r="CTQ378">
        <v>0.05</v>
      </c>
      <c r="CTR378">
        <v>1</v>
      </c>
      <c r="CTS378" t="s">
        <v>531</v>
      </c>
      <c r="CTT378" t="str">
        <f>"628669010033"</f>
        <v>628669010033</v>
      </c>
      <c r="CTU378" t="str">
        <f>"0419671"</f>
        <v>0419671</v>
      </c>
      <c r="CTV378" t="s">
        <v>199</v>
      </c>
      <c r="CTW378" t="s">
        <v>25</v>
      </c>
      <c r="CTX378">
        <v>24</v>
      </c>
      <c r="CTY378">
        <v>0.05</v>
      </c>
      <c r="CTZ378">
        <v>1</v>
      </c>
      <c r="CUA378" t="s">
        <v>531</v>
      </c>
      <c r="CUB378" t="str">
        <f>"628669010033"</f>
        <v>628669010033</v>
      </c>
      <c r="CUC378" t="str">
        <f>"0419671"</f>
        <v>0419671</v>
      </c>
      <c r="CUD378" t="s">
        <v>199</v>
      </c>
      <c r="CUE378" t="s">
        <v>25</v>
      </c>
      <c r="CUF378">
        <v>24</v>
      </c>
      <c r="CUG378">
        <v>0.05</v>
      </c>
      <c r="CUH378">
        <v>1</v>
      </c>
      <c r="CUI378" t="s">
        <v>531</v>
      </c>
      <c r="CUJ378" t="str">
        <f>"628669010033"</f>
        <v>628669010033</v>
      </c>
      <c r="CUK378" t="str">
        <f>"0419671"</f>
        <v>0419671</v>
      </c>
      <c r="CUL378" t="s">
        <v>199</v>
      </c>
      <c r="CUM378" t="s">
        <v>25</v>
      </c>
      <c r="CUN378">
        <v>24</v>
      </c>
      <c r="CUO378">
        <v>0.05</v>
      </c>
      <c r="CUP378">
        <v>1</v>
      </c>
      <c r="CUQ378" t="s">
        <v>531</v>
      </c>
      <c r="CUR378" t="str">
        <f>"628669010033"</f>
        <v>628669010033</v>
      </c>
      <c r="CUS378" t="str">
        <f>"0419671"</f>
        <v>0419671</v>
      </c>
      <c r="CUT378" t="s">
        <v>199</v>
      </c>
      <c r="CUU378" t="s">
        <v>25</v>
      </c>
      <c r="CUV378">
        <v>24</v>
      </c>
      <c r="CUW378">
        <v>0.05</v>
      </c>
      <c r="CUX378">
        <v>1</v>
      </c>
      <c r="CUY378" t="s">
        <v>531</v>
      </c>
      <c r="CUZ378" t="str">
        <f>"628669010033"</f>
        <v>628669010033</v>
      </c>
      <c r="CVA378" t="str">
        <f>"0419671"</f>
        <v>0419671</v>
      </c>
      <c r="CVB378" t="s">
        <v>199</v>
      </c>
      <c r="CVC378" t="s">
        <v>25</v>
      </c>
      <c r="CVD378">
        <v>24</v>
      </c>
      <c r="CVE378">
        <v>0.05</v>
      </c>
      <c r="CVF378">
        <v>1</v>
      </c>
      <c r="CVG378" t="s">
        <v>531</v>
      </c>
      <c r="CVH378" t="str">
        <f>"628669010033"</f>
        <v>628669010033</v>
      </c>
      <c r="CVI378" t="str">
        <f>"0419671"</f>
        <v>0419671</v>
      </c>
      <c r="CVJ378" t="s">
        <v>199</v>
      </c>
      <c r="CVK378" t="s">
        <v>25</v>
      </c>
      <c r="CVL378">
        <v>24</v>
      </c>
      <c r="CVM378">
        <v>0.05</v>
      </c>
      <c r="CVN378">
        <v>1</v>
      </c>
      <c r="CVO378" t="s">
        <v>531</v>
      </c>
      <c r="CVP378" t="str">
        <f>"628669010033"</f>
        <v>628669010033</v>
      </c>
      <c r="CVQ378" t="str">
        <f>"0419671"</f>
        <v>0419671</v>
      </c>
      <c r="CVR378" t="s">
        <v>199</v>
      </c>
      <c r="CVS378" t="s">
        <v>25</v>
      </c>
      <c r="CVT378">
        <v>24</v>
      </c>
      <c r="CVU378">
        <v>0.05</v>
      </c>
      <c r="CVV378">
        <v>1</v>
      </c>
      <c r="CVW378" t="s">
        <v>531</v>
      </c>
      <c r="CVX378" t="str">
        <f>"628669010033"</f>
        <v>628669010033</v>
      </c>
      <c r="CVY378" t="str">
        <f>"0419671"</f>
        <v>0419671</v>
      </c>
      <c r="CVZ378" t="s">
        <v>199</v>
      </c>
      <c r="CWA378" t="s">
        <v>25</v>
      </c>
      <c r="CWB378">
        <v>24</v>
      </c>
      <c r="CWC378">
        <v>0.05</v>
      </c>
      <c r="CWD378">
        <v>1</v>
      </c>
      <c r="CWE378" t="s">
        <v>531</v>
      </c>
      <c r="CWF378" t="str">
        <f>"628669010033"</f>
        <v>628669010033</v>
      </c>
      <c r="CWG378" t="str">
        <f>"0419671"</f>
        <v>0419671</v>
      </c>
      <c r="CWH378" t="s">
        <v>199</v>
      </c>
      <c r="CWI378" t="s">
        <v>25</v>
      </c>
      <c r="CWJ378">
        <v>24</v>
      </c>
      <c r="CWK378">
        <v>0.05</v>
      </c>
      <c r="CWL378">
        <v>1</v>
      </c>
      <c r="CWM378" t="s">
        <v>531</v>
      </c>
      <c r="CWN378" t="str">
        <f>"628669010033"</f>
        <v>628669010033</v>
      </c>
      <c r="CWO378" t="str">
        <f>"0419671"</f>
        <v>0419671</v>
      </c>
      <c r="CWP378" t="s">
        <v>199</v>
      </c>
      <c r="CWQ378" t="s">
        <v>25</v>
      </c>
      <c r="CWR378">
        <v>24</v>
      </c>
      <c r="CWS378">
        <v>0.05</v>
      </c>
      <c r="CWT378">
        <v>1</v>
      </c>
      <c r="CWU378" t="s">
        <v>531</v>
      </c>
      <c r="CWV378" t="str">
        <f>"628669010033"</f>
        <v>628669010033</v>
      </c>
      <c r="CWW378" t="str">
        <f>"0419671"</f>
        <v>0419671</v>
      </c>
      <c r="CWX378" t="s">
        <v>199</v>
      </c>
      <c r="CWY378" t="s">
        <v>25</v>
      </c>
      <c r="CWZ378">
        <v>24</v>
      </c>
      <c r="CXA378">
        <v>0.05</v>
      </c>
      <c r="CXB378">
        <v>1</v>
      </c>
      <c r="CXC378" t="s">
        <v>531</v>
      </c>
      <c r="CXD378" t="str">
        <f>"628669010033"</f>
        <v>628669010033</v>
      </c>
      <c r="CXE378" t="str">
        <f>"0419671"</f>
        <v>0419671</v>
      </c>
      <c r="CXF378" t="s">
        <v>199</v>
      </c>
      <c r="CXG378" t="s">
        <v>25</v>
      </c>
      <c r="CXH378">
        <v>24</v>
      </c>
      <c r="CXI378">
        <v>0.05</v>
      </c>
      <c r="CXJ378">
        <v>1</v>
      </c>
      <c r="CXK378" t="s">
        <v>531</v>
      </c>
      <c r="CXL378" t="str">
        <f>"628669010033"</f>
        <v>628669010033</v>
      </c>
      <c r="CXM378" t="str">
        <f>"0419671"</f>
        <v>0419671</v>
      </c>
      <c r="CXN378" t="s">
        <v>199</v>
      </c>
      <c r="CXO378" t="s">
        <v>25</v>
      </c>
      <c r="CXP378">
        <v>24</v>
      </c>
      <c r="CXQ378">
        <v>0.05</v>
      </c>
      <c r="CXR378">
        <v>1</v>
      </c>
      <c r="CXS378" t="s">
        <v>531</v>
      </c>
      <c r="CXT378" t="str">
        <f>"628669010033"</f>
        <v>628669010033</v>
      </c>
      <c r="CXU378" t="str">
        <f>"0419671"</f>
        <v>0419671</v>
      </c>
      <c r="CXV378" t="s">
        <v>199</v>
      </c>
      <c r="CXW378" t="s">
        <v>25</v>
      </c>
      <c r="CXX378">
        <v>24</v>
      </c>
      <c r="CXY378">
        <v>0.05</v>
      </c>
      <c r="CXZ378">
        <v>1</v>
      </c>
      <c r="CYA378" t="s">
        <v>531</v>
      </c>
      <c r="CYB378" t="str">
        <f>"628669010033"</f>
        <v>628669010033</v>
      </c>
      <c r="CYC378" t="str">
        <f>"0419671"</f>
        <v>0419671</v>
      </c>
      <c r="CYD378" t="s">
        <v>199</v>
      </c>
      <c r="CYE378" t="s">
        <v>25</v>
      </c>
      <c r="CYF378">
        <v>24</v>
      </c>
      <c r="CYG378">
        <v>0.05</v>
      </c>
      <c r="CYH378">
        <v>1</v>
      </c>
      <c r="CYI378" t="s">
        <v>531</v>
      </c>
      <c r="CYJ378" t="str">
        <f>"628669010033"</f>
        <v>628669010033</v>
      </c>
      <c r="CYK378" t="str">
        <f>"0419671"</f>
        <v>0419671</v>
      </c>
      <c r="CYL378" t="s">
        <v>199</v>
      </c>
      <c r="CYM378" t="s">
        <v>25</v>
      </c>
      <c r="CYN378">
        <v>24</v>
      </c>
      <c r="CYO378">
        <v>0.05</v>
      </c>
      <c r="CYP378">
        <v>1</v>
      </c>
      <c r="CYQ378" t="s">
        <v>531</v>
      </c>
      <c r="CYR378" t="str">
        <f>"628669010033"</f>
        <v>628669010033</v>
      </c>
      <c r="CYS378" t="str">
        <f>"0419671"</f>
        <v>0419671</v>
      </c>
      <c r="CYT378" t="s">
        <v>199</v>
      </c>
      <c r="CYU378" t="s">
        <v>25</v>
      </c>
      <c r="CYV378">
        <v>24</v>
      </c>
      <c r="CYW378">
        <v>0.05</v>
      </c>
      <c r="CYX378">
        <v>1</v>
      </c>
      <c r="CYY378" t="s">
        <v>531</v>
      </c>
      <c r="CYZ378" t="str">
        <f>"628669010033"</f>
        <v>628669010033</v>
      </c>
      <c r="CZA378" t="str">
        <f>"0419671"</f>
        <v>0419671</v>
      </c>
      <c r="CZB378" t="s">
        <v>199</v>
      </c>
      <c r="CZC378" t="s">
        <v>25</v>
      </c>
      <c r="CZD378">
        <v>24</v>
      </c>
      <c r="CZE378">
        <v>0.05</v>
      </c>
      <c r="CZF378">
        <v>1</v>
      </c>
      <c r="CZG378" t="s">
        <v>531</v>
      </c>
      <c r="CZH378" t="str">
        <f>"628669010033"</f>
        <v>628669010033</v>
      </c>
      <c r="CZI378" t="str">
        <f>"0419671"</f>
        <v>0419671</v>
      </c>
      <c r="CZJ378" t="s">
        <v>199</v>
      </c>
      <c r="CZK378" t="s">
        <v>25</v>
      </c>
      <c r="CZL378">
        <v>24</v>
      </c>
      <c r="CZM378">
        <v>0.05</v>
      </c>
      <c r="CZN378">
        <v>1</v>
      </c>
      <c r="CZO378" t="s">
        <v>531</v>
      </c>
      <c r="CZP378" t="str">
        <f>"628669010033"</f>
        <v>628669010033</v>
      </c>
      <c r="CZQ378" t="str">
        <f>"0419671"</f>
        <v>0419671</v>
      </c>
      <c r="CZR378" t="s">
        <v>199</v>
      </c>
      <c r="CZS378" t="s">
        <v>25</v>
      </c>
      <c r="CZT378">
        <v>24</v>
      </c>
      <c r="CZU378">
        <v>0.05</v>
      </c>
      <c r="CZV378">
        <v>1</v>
      </c>
      <c r="CZW378" t="s">
        <v>531</v>
      </c>
      <c r="CZX378" t="str">
        <f>"628669010033"</f>
        <v>628669010033</v>
      </c>
      <c r="CZY378" t="str">
        <f>"0419671"</f>
        <v>0419671</v>
      </c>
      <c r="CZZ378" t="s">
        <v>199</v>
      </c>
      <c r="DAA378" t="s">
        <v>25</v>
      </c>
      <c r="DAB378">
        <v>24</v>
      </c>
      <c r="DAC378">
        <v>0.05</v>
      </c>
      <c r="DAD378">
        <v>1</v>
      </c>
      <c r="DAE378" t="s">
        <v>531</v>
      </c>
      <c r="DAF378" t="str">
        <f>"628669010033"</f>
        <v>628669010033</v>
      </c>
      <c r="DAG378" t="str">
        <f>"0419671"</f>
        <v>0419671</v>
      </c>
      <c r="DAH378" t="s">
        <v>199</v>
      </c>
      <c r="DAI378" t="s">
        <v>25</v>
      </c>
      <c r="DAJ378">
        <v>24</v>
      </c>
      <c r="DAK378">
        <v>0.05</v>
      </c>
      <c r="DAL378">
        <v>1</v>
      </c>
      <c r="DAM378" t="s">
        <v>531</v>
      </c>
      <c r="DAN378" t="str">
        <f>"628669010033"</f>
        <v>628669010033</v>
      </c>
      <c r="DAO378" t="str">
        <f>"0419671"</f>
        <v>0419671</v>
      </c>
      <c r="DAP378" t="s">
        <v>199</v>
      </c>
      <c r="DAQ378" t="s">
        <v>25</v>
      </c>
      <c r="DAR378">
        <v>24</v>
      </c>
      <c r="DAS378">
        <v>0.05</v>
      </c>
      <c r="DAT378">
        <v>1</v>
      </c>
      <c r="DAU378" t="s">
        <v>531</v>
      </c>
      <c r="DAV378" t="str">
        <f>"628669010033"</f>
        <v>628669010033</v>
      </c>
      <c r="DAW378" t="str">
        <f>"0419671"</f>
        <v>0419671</v>
      </c>
      <c r="DAX378" t="s">
        <v>199</v>
      </c>
      <c r="DAY378" t="s">
        <v>25</v>
      </c>
      <c r="DAZ378">
        <v>24</v>
      </c>
      <c r="DBA378">
        <v>0.05</v>
      </c>
      <c r="DBB378">
        <v>1</v>
      </c>
      <c r="DBC378" t="s">
        <v>531</v>
      </c>
      <c r="DBD378" t="str">
        <f>"628669010033"</f>
        <v>628669010033</v>
      </c>
      <c r="DBE378" t="str">
        <f>"0419671"</f>
        <v>0419671</v>
      </c>
      <c r="DBF378" t="s">
        <v>199</v>
      </c>
      <c r="DBG378" t="s">
        <v>25</v>
      </c>
      <c r="DBH378">
        <v>24</v>
      </c>
      <c r="DBI378">
        <v>0.05</v>
      </c>
      <c r="DBJ378">
        <v>1</v>
      </c>
      <c r="DBK378" t="s">
        <v>531</v>
      </c>
      <c r="DBL378" t="str">
        <f>"628669010033"</f>
        <v>628669010033</v>
      </c>
      <c r="DBM378" t="str">
        <f>"0419671"</f>
        <v>0419671</v>
      </c>
      <c r="DBN378" t="s">
        <v>199</v>
      </c>
      <c r="DBO378" t="s">
        <v>25</v>
      </c>
      <c r="DBP378">
        <v>24</v>
      </c>
      <c r="DBQ378">
        <v>0.05</v>
      </c>
      <c r="DBR378">
        <v>1</v>
      </c>
      <c r="DBS378" t="s">
        <v>531</v>
      </c>
      <c r="DBT378" t="str">
        <f>"628669010033"</f>
        <v>628669010033</v>
      </c>
      <c r="DBU378" t="str">
        <f>"0419671"</f>
        <v>0419671</v>
      </c>
      <c r="DBV378" t="s">
        <v>199</v>
      </c>
      <c r="DBW378" t="s">
        <v>25</v>
      </c>
      <c r="DBX378">
        <v>24</v>
      </c>
      <c r="DBY378">
        <v>0.05</v>
      </c>
      <c r="DBZ378">
        <v>1</v>
      </c>
      <c r="DCA378" t="s">
        <v>531</v>
      </c>
      <c r="DCB378" t="str">
        <f>"628669010033"</f>
        <v>628669010033</v>
      </c>
      <c r="DCC378" t="str">
        <f>"0419671"</f>
        <v>0419671</v>
      </c>
      <c r="DCD378" t="s">
        <v>199</v>
      </c>
      <c r="DCE378" t="s">
        <v>25</v>
      </c>
      <c r="DCF378">
        <v>24</v>
      </c>
      <c r="DCG378">
        <v>0.05</v>
      </c>
      <c r="DCH378">
        <v>1</v>
      </c>
      <c r="DCI378" t="s">
        <v>531</v>
      </c>
      <c r="DCJ378" t="str">
        <f>"628669010033"</f>
        <v>628669010033</v>
      </c>
      <c r="DCK378" t="str">
        <f>"0419671"</f>
        <v>0419671</v>
      </c>
      <c r="DCL378" t="s">
        <v>199</v>
      </c>
      <c r="DCM378" t="s">
        <v>25</v>
      </c>
      <c r="DCN378">
        <v>24</v>
      </c>
      <c r="DCO378">
        <v>0.05</v>
      </c>
      <c r="DCP378">
        <v>1</v>
      </c>
      <c r="DCQ378" t="s">
        <v>531</v>
      </c>
      <c r="DCR378" t="str">
        <f>"628669010033"</f>
        <v>628669010033</v>
      </c>
      <c r="DCS378" t="str">
        <f>"0419671"</f>
        <v>0419671</v>
      </c>
      <c r="DCT378" t="s">
        <v>199</v>
      </c>
      <c r="DCU378" t="s">
        <v>25</v>
      </c>
      <c r="DCV378">
        <v>24</v>
      </c>
      <c r="DCW378">
        <v>0.05</v>
      </c>
      <c r="DCX378">
        <v>1</v>
      </c>
      <c r="DCY378" t="s">
        <v>531</v>
      </c>
      <c r="DCZ378" t="str">
        <f>"628669010033"</f>
        <v>628669010033</v>
      </c>
      <c r="DDA378" t="str">
        <f>"0419671"</f>
        <v>0419671</v>
      </c>
      <c r="DDB378" t="s">
        <v>199</v>
      </c>
      <c r="DDC378" t="s">
        <v>25</v>
      </c>
      <c r="DDD378">
        <v>24</v>
      </c>
      <c r="DDE378">
        <v>0.05</v>
      </c>
      <c r="DDF378">
        <v>1</v>
      </c>
      <c r="DDG378" t="s">
        <v>531</v>
      </c>
      <c r="DDH378" t="str">
        <f>"628669010033"</f>
        <v>628669010033</v>
      </c>
      <c r="DDI378" t="str">
        <f>"0419671"</f>
        <v>0419671</v>
      </c>
      <c r="DDJ378" t="s">
        <v>199</v>
      </c>
      <c r="DDK378" t="s">
        <v>25</v>
      </c>
      <c r="DDL378">
        <v>24</v>
      </c>
      <c r="DDM378">
        <v>0.05</v>
      </c>
      <c r="DDN378">
        <v>1</v>
      </c>
      <c r="DDO378" t="s">
        <v>531</v>
      </c>
      <c r="DDP378" t="str">
        <f>"628669010033"</f>
        <v>628669010033</v>
      </c>
      <c r="DDQ378" t="str">
        <f>"0419671"</f>
        <v>0419671</v>
      </c>
      <c r="DDR378" t="s">
        <v>199</v>
      </c>
      <c r="DDS378" t="s">
        <v>25</v>
      </c>
      <c r="DDT378">
        <v>24</v>
      </c>
      <c r="DDU378">
        <v>0.05</v>
      </c>
      <c r="DDV378">
        <v>1</v>
      </c>
      <c r="DDW378" t="s">
        <v>531</v>
      </c>
      <c r="DDX378" t="str">
        <f>"628669010033"</f>
        <v>628669010033</v>
      </c>
      <c r="DDY378" t="str">
        <f>"0419671"</f>
        <v>0419671</v>
      </c>
      <c r="DDZ378" t="s">
        <v>199</v>
      </c>
      <c r="DEA378" t="s">
        <v>25</v>
      </c>
      <c r="DEB378">
        <v>24</v>
      </c>
      <c r="DEC378">
        <v>0.05</v>
      </c>
      <c r="DED378">
        <v>1</v>
      </c>
      <c r="DEE378" t="s">
        <v>531</v>
      </c>
      <c r="DEF378" t="str">
        <f>"628669010033"</f>
        <v>628669010033</v>
      </c>
      <c r="DEG378" t="str">
        <f>"0419671"</f>
        <v>0419671</v>
      </c>
      <c r="DEH378" t="s">
        <v>199</v>
      </c>
      <c r="DEI378" t="s">
        <v>25</v>
      </c>
      <c r="DEJ378">
        <v>24</v>
      </c>
      <c r="DEK378">
        <v>0.05</v>
      </c>
      <c r="DEL378">
        <v>1</v>
      </c>
      <c r="DEM378" t="s">
        <v>531</v>
      </c>
      <c r="DEN378" t="str">
        <f>"628669010033"</f>
        <v>628669010033</v>
      </c>
      <c r="DEO378" t="str">
        <f>"0419671"</f>
        <v>0419671</v>
      </c>
      <c r="DEP378" t="s">
        <v>199</v>
      </c>
      <c r="DEQ378" t="s">
        <v>25</v>
      </c>
      <c r="DER378">
        <v>24</v>
      </c>
      <c r="DES378">
        <v>0.05</v>
      </c>
      <c r="DET378">
        <v>1</v>
      </c>
      <c r="DEU378" t="s">
        <v>531</v>
      </c>
      <c r="DEV378" t="str">
        <f>"628669010033"</f>
        <v>628669010033</v>
      </c>
      <c r="DEW378" t="str">
        <f>"0419671"</f>
        <v>0419671</v>
      </c>
      <c r="DEX378" t="s">
        <v>199</v>
      </c>
      <c r="DEY378" t="s">
        <v>25</v>
      </c>
      <c r="DEZ378">
        <v>24</v>
      </c>
      <c r="DFA378">
        <v>0.05</v>
      </c>
      <c r="DFB378">
        <v>1</v>
      </c>
      <c r="DFC378" t="s">
        <v>531</v>
      </c>
      <c r="DFD378" t="str">
        <f>"628669010033"</f>
        <v>628669010033</v>
      </c>
      <c r="DFE378" t="str">
        <f>"0419671"</f>
        <v>0419671</v>
      </c>
      <c r="DFF378" t="s">
        <v>199</v>
      </c>
      <c r="DFG378" t="s">
        <v>25</v>
      </c>
      <c r="DFH378">
        <v>24</v>
      </c>
      <c r="DFI378">
        <v>0.05</v>
      </c>
      <c r="DFJ378">
        <v>1</v>
      </c>
      <c r="DFK378" t="s">
        <v>531</v>
      </c>
      <c r="DFL378" t="str">
        <f>"628669010033"</f>
        <v>628669010033</v>
      </c>
      <c r="DFM378" t="str">
        <f>"0419671"</f>
        <v>0419671</v>
      </c>
      <c r="DFN378" t="s">
        <v>199</v>
      </c>
      <c r="DFO378" t="s">
        <v>25</v>
      </c>
      <c r="DFP378">
        <v>24</v>
      </c>
      <c r="DFQ378">
        <v>0.05</v>
      </c>
      <c r="DFR378">
        <v>1</v>
      </c>
      <c r="DFS378" t="s">
        <v>531</v>
      </c>
      <c r="DFT378" t="str">
        <f>"628669010033"</f>
        <v>628669010033</v>
      </c>
      <c r="DFU378" t="str">
        <f>"0419671"</f>
        <v>0419671</v>
      </c>
      <c r="DFV378" t="s">
        <v>199</v>
      </c>
      <c r="DFW378" t="s">
        <v>25</v>
      </c>
      <c r="DFX378">
        <v>24</v>
      </c>
      <c r="DFY378">
        <v>0.05</v>
      </c>
      <c r="DFZ378">
        <v>1</v>
      </c>
      <c r="DGA378" t="s">
        <v>531</v>
      </c>
      <c r="DGB378" t="str">
        <f>"628669010033"</f>
        <v>628669010033</v>
      </c>
      <c r="DGC378" t="str">
        <f>"0419671"</f>
        <v>0419671</v>
      </c>
      <c r="DGD378" t="s">
        <v>199</v>
      </c>
      <c r="DGE378" t="s">
        <v>25</v>
      </c>
      <c r="DGF378">
        <v>24</v>
      </c>
      <c r="DGG378">
        <v>0.05</v>
      </c>
      <c r="DGH378">
        <v>1</v>
      </c>
      <c r="DGI378" t="s">
        <v>531</v>
      </c>
      <c r="DGJ378" t="str">
        <f>"628669010033"</f>
        <v>628669010033</v>
      </c>
      <c r="DGK378" t="str">
        <f>"0419671"</f>
        <v>0419671</v>
      </c>
      <c r="DGL378" t="s">
        <v>199</v>
      </c>
      <c r="DGM378" t="s">
        <v>25</v>
      </c>
      <c r="DGN378">
        <v>24</v>
      </c>
      <c r="DGO378">
        <v>0.05</v>
      </c>
      <c r="DGP378">
        <v>1</v>
      </c>
      <c r="DGQ378" t="s">
        <v>531</v>
      </c>
      <c r="DGR378" t="str">
        <f>"628669010033"</f>
        <v>628669010033</v>
      </c>
      <c r="DGS378" t="str">
        <f>"0419671"</f>
        <v>0419671</v>
      </c>
      <c r="DGT378" t="s">
        <v>199</v>
      </c>
      <c r="DGU378" t="s">
        <v>25</v>
      </c>
      <c r="DGV378">
        <v>24</v>
      </c>
      <c r="DGW378">
        <v>0.05</v>
      </c>
      <c r="DGX378">
        <v>1</v>
      </c>
      <c r="DGY378" t="s">
        <v>531</v>
      </c>
      <c r="DGZ378" t="str">
        <f>"628669010033"</f>
        <v>628669010033</v>
      </c>
      <c r="DHA378" t="str">
        <f>"0419671"</f>
        <v>0419671</v>
      </c>
      <c r="DHB378" t="s">
        <v>199</v>
      </c>
      <c r="DHC378" t="s">
        <v>25</v>
      </c>
      <c r="DHD378">
        <v>24</v>
      </c>
      <c r="DHE378">
        <v>0.05</v>
      </c>
      <c r="DHF378">
        <v>1</v>
      </c>
      <c r="DHG378" t="s">
        <v>531</v>
      </c>
      <c r="DHH378" t="str">
        <f>"628669010033"</f>
        <v>628669010033</v>
      </c>
      <c r="DHI378" t="str">
        <f>"0419671"</f>
        <v>0419671</v>
      </c>
      <c r="DHJ378" t="s">
        <v>199</v>
      </c>
      <c r="DHK378" t="s">
        <v>25</v>
      </c>
      <c r="DHL378">
        <v>24</v>
      </c>
      <c r="DHM378">
        <v>0.05</v>
      </c>
      <c r="DHN378">
        <v>1</v>
      </c>
      <c r="DHO378" t="s">
        <v>531</v>
      </c>
      <c r="DHP378" t="str">
        <f>"628669010033"</f>
        <v>628669010033</v>
      </c>
      <c r="DHQ378" t="str">
        <f>"0419671"</f>
        <v>0419671</v>
      </c>
      <c r="DHR378" t="s">
        <v>199</v>
      </c>
      <c r="DHS378" t="s">
        <v>25</v>
      </c>
      <c r="DHT378">
        <v>24</v>
      </c>
      <c r="DHU378">
        <v>0.05</v>
      </c>
      <c r="DHV378">
        <v>1</v>
      </c>
      <c r="DHW378" t="s">
        <v>531</v>
      </c>
      <c r="DHX378" t="str">
        <f>"628669010033"</f>
        <v>628669010033</v>
      </c>
      <c r="DHY378" t="str">
        <f>"0419671"</f>
        <v>0419671</v>
      </c>
      <c r="DHZ378" t="s">
        <v>199</v>
      </c>
      <c r="DIA378" t="s">
        <v>25</v>
      </c>
      <c r="DIB378">
        <v>24</v>
      </c>
      <c r="DIC378">
        <v>0.05</v>
      </c>
      <c r="DID378">
        <v>1</v>
      </c>
      <c r="DIE378" t="s">
        <v>531</v>
      </c>
      <c r="DIF378" t="str">
        <f>"628669010033"</f>
        <v>628669010033</v>
      </c>
      <c r="DIG378" t="str">
        <f>"0419671"</f>
        <v>0419671</v>
      </c>
      <c r="DIH378" t="s">
        <v>199</v>
      </c>
      <c r="DII378" t="s">
        <v>25</v>
      </c>
      <c r="DIJ378">
        <v>24</v>
      </c>
      <c r="DIK378">
        <v>0.05</v>
      </c>
      <c r="DIL378">
        <v>1</v>
      </c>
      <c r="DIM378" t="s">
        <v>531</v>
      </c>
      <c r="DIN378" t="str">
        <f>"628669010033"</f>
        <v>628669010033</v>
      </c>
      <c r="DIO378" t="str">
        <f>"0419671"</f>
        <v>0419671</v>
      </c>
      <c r="DIP378" t="s">
        <v>199</v>
      </c>
      <c r="DIQ378" t="s">
        <v>25</v>
      </c>
      <c r="DIR378">
        <v>24</v>
      </c>
      <c r="DIS378">
        <v>0.05</v>
      </c>
      <c r="DIT378">
        <v>1</v>
      </c>
      <c r="DIU378" t="s">
        <v>531</v>
      </c>
      <c r="DIV378" t="str">
        <f>"628669010033"</f>
        <v>628669010033</v>
      </c>
      <c r="DIW378" t="str">
        <f>"0419671"</f>
        <v>0419671</v>
      </c>
      <c r="DIX378" t="s">
        <v>199</v>
      </c>
      <c r="DIY378" t="s">
        <v>25</v>
      </c>
      <c r="DIZ378">
        <v>24</v>
      </c>
      <c r="DJA378">
        <v>0.05</v>
      </c>
      <c r="DJB378">
        <v>1</v>
      </c>
      <c r="DJC378" t="s">
        <v>531</v>
      </c>
      <c r="DJD378" t="str">
        <f>"628669010033"</f>
        <v>628669010033</v>
      </c>
      <c r="DJE378" t="str">
        <f>"0419671"</f>
        <v>0419671</v>
      </c>
      <c r="DJF378" t="s">
        <v>199</v>
      </c>
      <c r="DJG378" t="s">
        <v>25</v>
      </c>
      <c r="DJH378">
        <v>24</v>
      </c>
      <c r="DJI378">
        <v>0.05</v>
      </c>
      <c r="DJJ378">
        <v>1</v>
      </c>
      <c r="DJK378" t="s">
        <v>531</v>
      </c>
      <c r="DJL378" t="str">
        <f>"628669010033"</f>
        <v>628669010033</v>
      </c>
      <c r="DJM378" t="str">
        <f>"0419671"</f>
        <v>0419671</v>
      </c>
      <c r="DJN378" t="s">
        <v>199</v>
      </c>
      <c r="DJO378" t="s">
        <v>25</v>
      </c>
      <c r="DJP378">
        <v>24</v>
      </c>
      <c r="DJQ378">
        <v>0.05</v>
      </c>
      <c r="DJR378">
        <v>1</v>
      </c>
      <c r="DJS378" t="s">
        <v>531</v>
      </c>
      <c r="DJT378" t="str">
        <f>"628669010033"</f>
        <v>628669010033</v>
      </c>
      <c r="DJU378" t="str">
        <f>"0419671"</f>
        <v>0419671</v>
      </c>
      <c r="DJV378" t="s">
        <v>199</v>
      </c>
      <c r="DJW378" t="s">
        <v>25</v>
      </c>
      <c r="DJX378">
        <v>24</v>
      </c>
      <c r="DJY378">
        <v>0.05</v>
      </c>
      <c r="DJZ378">
        <v>1</v>
      </c>
      <c r="DKA378" t="s">
        <v>531</v>
      </c>
      <c r="DKB378" t="str">
        <f>"628669010033"</f>
        <v>628669010033</v>
      </c>
      <c r="DKC378" t="str">
        <f>"0419671"</f>
        <v>0419671</v>
      </c>
      <c r="DKD378" t="s">
        <v>199</v>
      </c>
      <c r="DKE378" t="s">
        <v>25</v>
      </c>
      <c r="DKF378">
        <v>24</v>
      </c>
      <c r="DKG378">
        <v>0.05</v>
      </c>
      <c r="DKH378">
        <v>1</v>
      </c>
      <c r="DKI378" t="s">
        <v>531</v>
      </c>
      <c r="DKJ378" t="str">
        <f>"628669010033"</f>
        <v>628669010033</v>
      </c>
      <c r="DKK378" t="str">
        <f>"0419671"</f>
        <v>0419671</v>
      </c>
      <c r="DKL378" t="s">
        <v>199</v>
      </c>
      <c r="DKM378" t="s">
        <v>25</v>
      </c>
      <c r="DKN378">
        <v>24</v>
      </c>
      <c r="DKO378">
        <v>0.05</v>
      </c>
      <c r="DKP378">
        <v>1</v>
      </c>
      <c r="DKQ378" t="s">
        <v>531</v>
      </c>
      <c r="DKR378" t="str">
        <f>"628669010033"</f>
        <v>628669010033</v>
      </c>
      <c r="DKS378" t="str">
        <f>"0419671"</f>
        <v>0419671</v>
      </c>
      <c r="DKT378" t="s">
        <v>199</v>
      </c>
      <c r="DKU378" t="s">
        <v>25</v>
      </c>
      <c r="DKV378">
        <v>24</v>
      </c>
      <c r="DKW378">
        <v>0.05</v>
      </c>
      <c r="DKX378">
        <v>1</v>
      </c>
      <c r="DKY378" t="s">
        <v>531</v>
      </c>
      <c r="DKZ378" t="str">
        <f>"628669010033"</f>
        <v>628669010033</v>
      </c>
      <c r="DLA378" t="str">
        <f>"0419671"</f>
        <v>0419671</v>
      </c>
      <c r="DLB378" t="s">
        <v>199</v>
      </c>
      <c r="DLC378" t="s">
        <v>25</v>
      </c>
      <c r="DLD378">
        <v>24</v>
      </c>
      <c r="DLE378">
        <v>0.05</v>
      </c>
      <c r="DLF378">
        <v>1</v>
      </c>
      <c r="DLG378" t="s">
        <v>531</v>
      </c>
      <c r="DLH378" t="str">
        <f>"628669010033"</f>
        <v>628669010033</v>
      </c>
      <c r="DLI378" t="str">
        <f>"0419671"</f>
        <v>0419671</v>
      </c>
      <c r="DLJ378" t="s">
        <v>199</v>
      </c>
      <c r="DLK378" t="s">
        <v>25</v>
      </c>
      <c r="DLL378">
        <v>24</v>
      </c>
      <c r="DLM378">
        <v>0.05</v>
      </c>
      <c r="DLN378">
        <v>1</v>
      </c>
      <c r="DLO378" t="s">
        <v>531</v>
      </c>
      <c r="DLP378" t="str">
        <f>"628669010033"</f>
        <v>628669010033</v>
      </c>
      <c r="DLQ378" t="str">
        <f>"0419671"</f>
        <v>0419671</v>
      </c>
      <c r="DLR378" t="s">
        <v>199</v>
      </c>
      <c r="DLS378" t="s">
        <v>25</v>
      </c>
      <c r="DLT378">
        <v>24</v>
      </c>
      <c r="DLU378">
        <v>0.05</v>
      </c>
      <c r="DLV378">
        <v>1</v>
      </c>
      <c r="DLW378" t="s">
        <v>531</v>
      </c>
      <c r="DLX378" t="str">
        <f>"628669010033"</f>
        <v>628669010033</v>
      </c>
      <c r="DLY378" t="str">
        <f>"0419671"</f>
        <v>0419671</v>
      </c>
      <c r="DLZ378" t="s">
        <v>199</v>
      </c>
      <c r="DMA378" t="s">
        <v>25</v>
      </c>
      <c r="DMB378">
        <v>24</v>
      </c>
      <c r="DMC378">
        <v>0.05</v>
      </c>
      <c r="DMD378">
        <v>1</v>
      </c>
      <c r="DME378" t="s">
        <v>531</v>
      </c>
      <c r="DMF378" t="str">
        <f>"628669010033"</f>
        <v>628669010033</v>
      </c>
      <c r="DMG378" t="str">
        <f>"0419671"</f>
        <v>0419671</v>
      </c>
      <c r="DMH378" t="s">
        <v>199</v>
      </c>
      <c r="DMI378" t="s">
        <v>25</v>
      </c>
      <c r="DMJ378">
        <v>24</v>
      </c>
      <c r="DMK378">
        <v>0.05</v>
      </c>
      <c r="DML378">
        <v>1</v>
      </c>
      <c r="DMM378" t="s">
        <v>531</v>
      </c>
      <c r="DMN378" t="str">
        <f>"628669010033"</f>
        <v>628669010033</v>
      </c>
      <c r="DMO378" t="str">
        <f>"0419671"</f>
        <v>0419671</v>
      </c>
      <c r="DMP378" t="s">
        <v>199</v>
      </c>
      <c r="DMQ378" t="s">
        <v>25</v>
      </c>
      <c r="DMR378">
        <v>24</v>
      </c>
      <c r="DMS378">
        <v>0.05</v>
      </c>
      <c r="DMT378">
        <v>1</v>
      </c>
      <c r="DMU378" t="s">
        <v>531</v>
      </c>
      <c r="DMV378" t="str">
        <f>"628669010033"</f>
        <v>628669010033</v>
      </c>
      <c r="DMW378" t="str">
        <f>"0419671"</f>
        <v>0419671</v>
      </c>
      <c r="DMX378" t="s">
        <v>199</v>
      </c>
      <c r="DMY378" t="s">
        <v>25</v>
      </c>
      <c r="DMZ378">
        <v>24</v>
      </c>
      <c r="DNA378">
        <v>0.05</v>
      </c>
      <c r="DNB378">
        <v>1</v>
      </c>
      <c r="DNC378" t="s">
        <v>531</v>
      </c>
      <c r="DND378" t="str">
        <f>"628669010033"</f>
        <v>628669010033</v>
      </c>
      <c r="DNE378" t="str">
        <f>"0419671"</f>
        <v>0419671</v>
      </c>
      <c r="DNF378" t="s">
        <v>199</v>
      </c>
      <c r="DNG378" t="s">
        <v>25</v>
      </c>
      <c r="DNH378">
        <v>24</v>
      </c>
      <c r="DNI378">
        <v>0.05</v>
      </c>
      <c r="DNJ378">
        <v>1</v>
      </c>
      <c r="DNK378" t="s">
        <v>531</v>
      </c>
      <c r="DNL378" t="str">
        <f>"628669010033"</f>
        <v>628669010033</v>
      </c>
      <c r="DNM378" t="str">
        <f>"0419671"</f>
        <v>0419671</v>
      </c>
      <c r="DNN378" t="s">
        <v>199</v>
      </c>
      <c r="DNO378" t="s">
        <v>25</v>
      </c>
      <c r="DNP378">
        <v>24</v>
      </c>
      <c r="DNQ378">
        <v>0.05</v>
      </c>
      <c r="DNR378">
        <v>1</v>
      </c>
      <c r="DNS378" t="s">
        <v>531</v>
      </c>
      <c r="DNT378" t="str">
        <f>"628669010033"</f>
        <v>628669010033</v>
      </c>
      <c r="DNU378" t="str">
        <f>"0419671"</f>
        <v>0419671</v>
      </c>
      <c r="DNV378" t="s">
        <v>199</v>
      </c>
      <c r="DNW378" t="s">
        <v>25</v>
      </c>
      <c r="DNX378">
        <v>24</v>
      </c>
      <c r="DNY378">
        <v>0.05</v>
      </c>
      <c r="DNZ378">
        <v>1</v>
      </c>
      <c r="DOA378" t="s">
        <v>531</v>
      </c>
      <c r="DOB378" t="str">
        <f>"628669010033"</f>
        <v>628669010033</v>
      </c>
      <c r="DOC378" t="str">
        <f>"0419671"</f>
        <v>0419671</v>
      </c>
      <c r="DOD378" t="s">
        <v>199</v>
      </c>
      <c r="DOE378" t="s">
        <v>25</v>
      </c>
      <c r="DOF378">
        <v>24</v>
      </c>
      <c r="DOG378">
        <v>0.05</v>
      </c>
      <c r="DOH378">
        <v>1</v>
      </c>
      <c r="DOI378" t="s">
        <v>531</v>
      </c>
      <c r="DOJ378" t="str">
        <f>"628669010033"</f>
        <v>628669010033</v>
      </c>
      <c r="DOK378" t="str">
        <f>"0419671"</f>
        <v>0419671</v>
      </c>
      <c r="DOL378" t="s">
        <v>199</v>
      </c>
      <c r="DOM378" t="s">
        <v>25</v>
      </c>
      <c r="DON378">
        <v>24</v>
      </c>
      <c r="DOO378">
        <v>0.05</v>
      </c>
      <c r="DOP378">
        <v>1</v>
      </c>
      <c r="DOQ378" t="s">
        <v>531</v>
      </c>
      <c r="DOR378" t="str">
        <f>"628669010033"</f>
        <v>628669010033</v>
      </c>
      <c r="DOS378" t="str">
        <f>"0419671"</f>
        <v>0419671</v>
      </c>
      <c r="DOT378" t="s">
        <v>199</v>
      </c>
      <c r="DOU378" t="s">
        <v>25</v>
      </c>
      <c r="DOV378">
        <v>24</v>
      </c>
      <c r="DOW378">
        <v>0.05</v>
      </c>
      <c r="DOX378">
        <v>1</v>
      </c>
      <c r="DOY378" t="s">
        <v>531</v>
      </c>
      <c r="DOZ378" t="str">
        <f>"628669010033"</f>
        <v>628669010033</v>
      </c>
      <c r="DPA378" t="str">
        <f>"0419671"</f>
        <v>0419671</v>
      </c>
      <c r="DPB378" t="s">
        <v>199</v>
      </c>
      <c r="DPC378" t="s">
        <v>25</v>
      </c>
      <c r="DPD378">
        <v>24</v>
      </c>
      <c r="DPE378">
        <v>0.05</v>
      </c>
      <c r="DPF378">
        <v>1</v>
      </c>
      <c r="DPG378" t="s">
        <v>531</v>
      </c>
      <c r="DPH378" t="str">
        <f>"628669010033"</f>
        <v>628669010033</v>
      </c>
      <c r="DPI378" t="str">
        <f>"0419671"</f>
        <v>0419671</v>
      </c>
      <c r="DPJ378" t="s">
        <v>199</v>
      </c>
      <c r="DPK378" t="s">
        <v>25</v>
      </c>
      <c r="DPL378">
        <v>24</v>
      </c>
      <c r="DPM378">
        <v>0.05</v>
      </c>
      <c r="DPN378">
        <v>1</v>
      </c>
      <c r="DPO378" t="s">
        <v>531</v>
      </c>
      <c r="DPP378" t="str">
        <f>"628669010033"</f>
        <v>628669010033</v>
      </c>
      <c r="DPQ378" t="str">
        <f>"0419671"</f>
        <v>0419671</v>
      </c>
      <c r="DPR378" t="s">
        <v>199</v>
      </c>
      <c r="DPS378" t="s">
        <v>25</v>
      </c>
      <c r="DPT378">
        <v>24</v>
      </c>
      <c r="DPU378">
        <v>0.05</v>
      </c>
      <c r="DPV378">
        <v>1</v>
      </c>
      <c r="DPW378" t="s">
        <v>531</v>
      </c>
      <c r="DPX378" t="str">
        <f>"628669010033"</f>
        <v>628669010033</v>
      </c>
      <c r="DPY378" t="str">
        <f>"0419671"</f>
        <v>0419671</v>
      </c>
      <c r="DPZ378" t="s">
        <v>199</v>
      </c>
      <c r="DQA378" t="s">
        <v>25</v>
      </c>
      <c r="DQB378">
        <v>24</v>
      </c>
      <c r="DQC378">
        <v>0.05</v>
      </c>
      <c r="DQD378">
        <v>1</v>
      </c>
      <c r="DQE378" t="s">
        <v>531</v>
      </c>
      <c r="DQF378" t="str">
        <f>"628669010033"</f>
        <v>628669010033</v>
      </c>
      <c r="DQG378" t="str">
        <f>"0419671"</f>
        <v>0419671</v>
      </c>
      <c r="DQH378" t="s">
        <v>199</v>
      </c>
      <c r="DQI378" t="s">
        <v>25</v>
      </c>
      <c r="DQJ378">
        <v>24</v>
      </c>
      <c r="DQK378">
        <v>0.05</v>
      </c>
      <c r="DQL378">
        <v>1</v>
      </c>
      <c r="DQM378" t="s">
        <v>531</v>
      </c>
      <c r="DQN378" t="str">
        <f>"628669010033"</f>
        <v>628669010033</v>
      </c>
      <c r="DQO378" t="str">
        <f>"0419671"</f>
        <v>0419671</v>
      </c>
      <c r="DQP378" t="s">
        <v>199</v>
      </c>
      <c r="DQQ378" t="s">
        <v>25</v>
      </c>
      <c r="DQR378">
        <v>24</v>
      </c>
      <c r="DQS378">
        <v>0.05</v>
      </c>
      <c r="DQT378">
        <v>1</v>
      </c>
      <c r="DQU378" t="s">
        <v>531</v>
      </c>
      <c r="DQV378" t="str">
        <f>"628669010033"</f>
        <v>628669010033</v>
      </c>
      <c r="DQW378" t="str">
        <f>"0419671"</f>
        <v>0419671</v>
      </c>
      <c r="DQX378" t="s">
        <v>199</v>
      </c>
      <c r="DQY378" t="s">
        <v>25</v>
      </c>
      <c r="DQZ378">
        <v>24</v>
      </c>
      <c r="DRA378">
        <v>0.05</v>
      </c>
      <c r="DRB378">
        <v>1</v>
      </c>
      <c r="DRC378" t="s">
        <v>531</v>
      </c>
      <c r="DRD378" t="str">
        <f>"628669010033"</f>
        <v>628669010033</v>
      </c>
      <c r="DRE378" t="str">
        <f>"0419671"</f>
        <v>0419671</v>
      </c>
      <c r="DRF378" t="s">
        <v>199</v>
      </c>
      <c r="DRG378" t="s">
        <v>25</v>
      </c>
      <c r="DRH378">
        <v>24</v>
      </c>
      <c r="DRI378">
        <v>0.05</v>
      </c>
      <c r="DRJ378">
        <v>1</v>
      </c>
      <c r="DRK378" t="s">
        <v>531</v>
      </c>
      <c r="DRL378" t="str">
        <f>"628669010033"</f>
        <v>628669010033</v>
      </c>
      <c r="DRM378" t="str">
        <f>"0419671"</f>
        <v>0419671</v>
      </c>
      <c r="DRN378" t="s">
        <v>199</v>
      </c>
      <c r="DRO378" t="s">
        <v>25</v>
      </c>
      <c r="DRP378">
        <v>24</v>
      </c>
      <c r="DRQ378">
        <v>0.05</v>
      </c>
      <c r="DRR378">
        <v>1</v>
      </c>
      <c r="DRS378" t="s">
        <v>531</v>
      </c>
      <c r="DRT378" t="str">
        <f>"628669010033"</f>
        <v>628669010033</v>
      </c>
      <c r="DRU378" t="str">
        <f>"0419671"</f>
        <v>0419671</v>
      </c>
      <c r="DRV378" t="s">
        <v>199</v>
      </c>
      <c r="DRW378" t="s">
        <v>25</v>
      </c>
      <c r="DRX378">
        <v>24</v>
      </c>
      <c r="DRY378">
        <v>0.05</v>
      </c>
      <c r="DRZ378">
        <v>1</v>
      </c>
      <c r="DSA378" t="s">
        <v>531</v>
      </c>
      <c r="DSB378" t="str">
        <f>"628669010033"</f>
        <v>628669010033</v>
      </c>
      <c r="DSC378" t="str">
        <f>"0419671"</f>
        <v>0419671</v>
      </c>
      <c r="DSD378" t="s">
        <v>199</v>
      </c>
      <c r="DSE378" t="s">
        <v>25</v>
      </c>
      <c r="DSF378">
        <v>24</v>
      </c>
      <c r="DSG378">
        <v>0.05</v>
      </c>
      <c r="DSH378">
        <v>1</v>
      </c>
      <c r="DSI378" t="s">
        <v>531</v>
      </c>
      <c r="DSJ378" t="str">
        <f>"628669010033"</f>
        <v>628669010033</v>
      </c>
      <c r="DSK378" t="str">
        <f>"0419671"</f>
        <v>0419671</v>
      </c>
      <c r="DSL378" t="s">
        <v>199</v>
      </c>
      <c r="DSM378" t="s">
        <v>25</v>
      </c>
      <c r="DSN378">
        <v>24</v>
      </c>
      <c r="DSO378">
        <v>0.05</v>
      </c>
      <c r="DSP378">
        <v>1</v>
      </c>
      <c r="DSQ378" t="s">
        <v>531</v>
      </c>
      <c r="DSR378" t="str">
        <f>"628669010033"</f>
        <v>628669010033</v>
      </c>
      <c r="DSS378" t="str">
        <f>"0419671"</f>
        <v>0419671</v>
      </c>
      <c r="DST378" t="s">
        <v>199</v>
      </c>
      <c r="DSU378" t="s">
        <v>25</v>
      </c>
      <c r="DSV378">
        <v>24</v>
      </c>
      <c r="DSW378">
        <v>0.05</v>
      </c>
      <c r="DSX378">
        <v>1</v>
      </c>
      <c r="DSY378" t="s">
        <v>531</v>
      </c>
      <c r="DSZ378" t="str">
        <f>"628669010033"</f>
        <v>628669010033</v>
      </c>
      <c r="DTA378" t="str">
        <f>"0419671"</f>
        <v>0419671</v>
      </c>
      <c r="DTB378" t="s">
        <v>199</v>
      </c>
      <c r="DTC378" t="s">
        <v>25</v>
      </c>
      <c r="DTD378">
        <v>24</v>
      </c>
      <c r="DTE378">
        <v>0.05</v>
      </c>
      <c r="DTF378">
        <v>1</v>
      </c>
      <c r="DTG378" t="s">
        <v>531</v>
      </c>
      <c r="DTH378" t="str">
        <f>"628669010033"</f>
        <v>628669010033</v>
      </c>
      <c r="DTI378" t="str">
        <f>"0419671"</f>
        <v>0419671</v>
      </c>
      <c r="DTJ378" t="s">
        <v>199</v>
      </c>
      <c r="DTK378" t="s">
        <v>25</v>
      </c>
      <c r="DTL378">
        <v>24</v>
      </c>
      <c r="DTM378">
        <v>0.05</v>
      </c>
      <c r="DTN378">
        <v>1</v>
      </c>
      <c r="DTO378" t="s">
        <v>531</v>
      </c>
      <c r="DTP378" t="str">
        <f>"628669010033"</f>
        <v>628669010033</v>
      </c>
      <c r="DTQ378" t="str">
        <f>"0419671"</f>
        <v>0419671</v>
      </c>
      <c r="DTR378" t="s">
        <v>199</v>
      </c>
      <c r="DTS378" t="s">
        <v>25</v>
      </c>
      <c r="DTT378">
        <v>24</v>
      </c>
      <c r="DTU378">
        <v>0.05</v>
      </c>
      <c r="DTV378">
        <v>1</v>
      </c>
      <c r="DTW378" t="s">
        <v>531</v>
      </c>
      <c r="DTX378" t="str">
        <f>"628669010033"</f>
        <v>628669010033</v>
      </c>
      <c r="DTY378" t="str">
        <f>"0419671"</f>
        <v>0419671</v>
      </c>
      <c r="DTZ378" t="s">
        <v>199</v>
      </c>
      <c r="DUA378" t="s">
        <v>25</v>
      </c>
      <c r="DUB378">
        <v>24</v>
      </c>
      <c r="DUC378">
        <v>0.05</v>
      </c>
      <c r="DUD378">
        <v>1</v>
      </c>
      <c r="DUE378" t="s">
        <v>531</v>
      </c>
      <c r="DUF378" t="str">
        <f>"628669010033"</f>
        <v>628669010033</v>
      </c>
      <c r="DUG378" t="str">
        <f>"0419671"</f>
        <v>0419671</v>
      </c>
      <c r="DUH378" t="s">
        <v>199</v>
      </c>
      <c r="DUI378" t="s">
        <v>25</v>
      </c>
      <c r="DUJ378">
        <v>24</v>
      </c>
      <c r="DUK378">
        <v>0.05</v>
      </c>
      <c r="DUL378">
        <v>1</v>
      </c>
      <c r="DUM378" t="s">
        <v>531</v>
      </c>
      <c r="DUN378" t="str">
        <f>"628669010033"</f>
        <v>628669010033</v>
      </c>
      <c r="DUO378" t="str">
        <f>"0419671"</f>
        <v>0419671</v>
      </c>
      <c r="DUP378" t="s">
        <v>199</v>
      </c>
      <c r="DUQ378" t="s">
        <v>25</v>
      </c>
      <c r="DUR378">
        <v>24</v>
      </c>
      <c r="DUS378">
        <v>0.05</v>
      </c>
      <c r="DUT378">
        <v>1</v>
      </c>
      <c r="DUU378" t="s">
        <v>531</v>
      </c>
      <c r="DUV378" t="str">
        <f>"628669010033"</f>
        <v>628669010033</v>
      </c>
      <c r="DUW378" t="str">
        <f>"0419671"</f>
        <v>0419671</v>
      </c>
      <c r="DUX378" t="s">
        <v>199</v>
      </c>
      <c r="DUY378" t="s">
        <v>25</v>
      </c>
      <c r="DUZ378">
        <v>24</v>
      </c>
      <c r="DVA378">
        <v>0.05</v>
      </c>
      <c r="DVB378">
        <v>1</v>
      </c>
      <c r="DVC378" t="s">
        <v>531</v>
      </c>
      <c r="DVD378" t="str">
        <f>"628669010033"</f>
        <v>628669010033</v>
      </c>
      <c r="DVE378" t="str">
        <f>"0419671"</f>
        <v>0419671</v>
      </c>
      <c r="DVF378" t="s">
        <v>199</v>
      </c>
      <c r="DVG378" t="s">
        <v>25</v>
      </c>
      <c r="DVH378">
        <v>24</v>
      </c>
      <c r="DVI378">
        <v>0.05</v>
      </c>
      <c r="DVJ378">
        <v>1</v>
      </c>
      <c r="DVK378" t="s">
        <v>531</v>
      </c>
      <c r="DVL378" t="str">
        <f>"628669010033"</f>
        <v>628669010033</v>
      </c>
      <c r="DVM378" t="str">
        <f>"0419671"</f>
        <v>0419671</v>
      </c>
      <c r="DVN378" t="s">
        <v>199</v>
      </c>
      <c r="DVO378" t="s">
        <v>25</v>
      </c>
      <c r="DVP378">
        <v>24</v>
      </c>
      <c r="DVQ378">
        <v>0.05</v>
      </c>
      <c r="DVR378">
        <v>1</v>
      </c>
      <c r="DVS378" t="s">
        <v>531</v>
      </c>
      <c r="DVT378" t="str">
        <f>"628669010033"</f>
        <v>628669010033</v>
      </c>
      <c r="DVU378" t="str">
        <f>"0419671"</f>
        <v>0419671</v>
      </c>
      <c r="DVV378" t="s">
        <v>199</v>
      </c>
      <c r="DVW378" t="s">
        <v>25</v>
      </c>
      <c r="DVX378">
        <v>24</v>
      </c>
      <c r="DVY378">
        <v>0.05</v>
      </c>
      <c r="DVZ378">
        <v>1</v>
      </c>
      <c r="DWA378" t="s">
        <v>531</v>
      </c>
      <c r="DWB378" t="str">
        <f>"628669010033"</f>
        <v>628669010033</v>
      </c>
      <c r="DWC378" t="str">
        <f>"0419671"</f>
        <v>0419671</v>
      </c>
      <c r="DWD378" t="s">
        <v>199</v>
      </c>
      <c r="DWE378" t="s">
        <v>25</v>
      </c>
      <c r="DWF378">
        <v>24</v>
      </c>
      <c r="DWG378">
        <v>0.05</v>
      </c>
      <c r="DWH378">
        <v>1</v>
      </c>
      <c r="DWI378" t="s">
        <v>531</v>
      </c>
      <c r="DWJ378" t="str">
        <f>"628669010033"</f>
        <v>628669010033</v>
      </c>
      <c r="DWK378" t="str">
        <f>"0419671"</f>
        <v>0419671</v>
      </c>
      <c r="DWL378" t="s">
        <v>199</v>
      </c>
      <c r="DWM378" t="s">
        <v>25</v>
      </c>
      <c r="DWN378">
        <v>24</v>
      </c>
      <c r="DWO378">
        <v>0.05</v>
      </c>
      <c r="DWP378">
        <v>1</v>
      </c>
      <c r="DWQ378" t="s">
        <v>531</v>
      </c>
      <c r="DWR378" t="str">
        <f>"628669010033"</f>
        <v>628669010033</v>
      </c>
      <c r="DWS378" t="str">
        <f>"0419671"</f>
        <v>0419671</v>
      </c>
      <c r="DWT378" t="s">
        <v>199</v>
      </c>
      <c r="DWU378" t="s">
        <v>25</v>
      </c>
      <c r="DWV378">
        <v>24</v>
      </c>
      <c r="DWW378">
        <v>0.05</v>
      </c>
      <c r="DWX378">
        <v>1</v>
      </c>
      <c r="DWY378" t="s">
        <v>531</v>
      </c>
      <c r="DWZ378" t="str">
        <f>"628669010033"</f>
        <v>628669010033</v>
      </c>
      <c r="DXA378" t="str">
        <f>"0419671"</f>
        <v>0419671</v>
      </c>
      <c r="DXB378" t="s">
        <v>199</v>
      </c>
      <c r="DXC378" t="s">
        <v>25</v>
      </c>
      <c r="DXD378">
        <v>24</v>
      </c>
      <c r="DXE378">
        <v>0.05</v>
      </c>
      <c r="DXF378">
        <v>1</v>
      </c>
      <c r="DXG378" t="s">
        <v>531</v>
      </c>
      <c r="DXH378" t="str">
        <f>"628669010033"</f>
        <v>628669010033</v>
      </c>
      <c r="DXI378" t="str">
        <f>"0419671"</f>
        <v>0419671</v>
      </c>
      <c r="DXJ378" t="s">
        <v>199</v>
      </c>
      <c r="DXK378" t="s">
        <v>25</v>
      </c>
      <c r="DXL378">
        <v>24</v>
      </c>
      <c r="DXM378">
        <v>0.05</v>
      </c>
      <c r="DXN378">
        <v>1</v>
      </c>
      <c r="DXO378" t="s">
        <v>531</v>
      </c>
      <c r="DXP378" t="str">
        <f>"628669010033"</f>
        <v>628669010033</v>
      </c>
      <c r="DXQ378" t="str">
        <f>"0419671"</f>
        <v>0419671</v>
      </c>
      <c r="DXR378" t="s">
        <v>199</v>
      </c>
      <c r="DXS378" t="s">
        <v>25</v>
      </c>
      <c r="DXT378">
        <v>24</v>
      </c>
      <c r="DXU378">
        <v>0.05</v>
      </c>
      <c r="DXV378">
        <v>1</v>
      </c>
      <c r="DXW378" t="s">
        <v>531</v>
      </c>
      <c r="DXX378" t="str">
        <f>"628669010033"</f>
        <v>628669010033</v>
      </c>
      <c r="DXY378" t="str">
        <f>"0419671"</f>
        <v>0419671</v>
      </c>
      <c r="DXZ378" t="s">
        <v>199</v>
      </c>
      <c r="DYA378" t="s">
        <v>25</v>
      </c>
      <c r="DYB378">
        <v>24</v>
      </c>
      <c r="DYC378">
        <v>0.05</v>
      </c>
      <c r="DYD378">
        <v>1</v>
      </c>
      <c r="DYE378" t="s">
        <v>531</v>
      </c>
      <c r="DYF378" t="str">
        <f>"628669010033"</f>
        <v>628669010033</v>
      </c>
      <c r="DYG378" t="str">
        <f>"0419671"</f>
        <v>0419671</v>
      </c>
      <c r="DYH378" t="s">
        <v>199</v>
      </c>
      <c r="DYI378" t="s">
        <v>25</v>
      </c>
      <c r="DYJ378">
        <v>24</v>
      </c>
      <c r="DYK378">
        <v>0.05</v>
      </c>
      <c r="DYL378">
        <v>1</v>
      </c>
      <c r="DYM378" t="s">
        <v>531</v>
      </c>
      <c r="DYN378" t="str">
        <f>"628669010033"</f>
        <v>628669010033</v>
      </c>
      <c r="DYO378" t="str">
        <f>"0419671"</f>
        <v>0419671</v>
      </c>
      <c r="DYP378" t="s">
        <v>199</v>
      </c>
      <c r="DYQ378" t="s">
        <v>25</v>
      </c>
      <c r="DYR378">
        <v>24</v>
      </c>
      <c r="DYS378">
        <v>0.05</v>
      </c>
      <c r="DYT378">
        <v>1</v>
      </c>
      <c r="DYU378" t="s">
        <v>531</v>
      </c>
      <c r="DYV378" t="str">
        <f>"628669010033"</f>
        <v>628669010033</v>
      </c>
      <c r="DYW378" t="str">
        <f>"0419671"</f>
        <v>0419671</v>
      </c>
      <c r="DYX378" t="s">
        <v>199</v>
      </c>
      <c r="DYY378" t="s">
        <v>25</v>
      </c>
      <c r="DYZ378">
        <v>24</v>
      </c>
      <c r="DZA378">
        <v>0.05</v>
      </c>
      <c r="DZB378">
        <v>1</v>
      </c>
      <c r="DZC378" t="s">
        <v>531</v>
      </c>
      <c r="DZD378" t="str">
        <f>"628669010033"</f>
        <v>628669010033</v>
      </c>
      <c r="DZE378" t="str">
        <f>"0419671"</f>
        <v>0419671</v>
      </c>
      <c r="DZF378" t="s">
        <v>199</v>
      </c>
      <c r="DZG378" t="s">
        <v>25</v>
      </c>
      <c r="DZH378">
        <v>24</v>
      </c>
      <c r="DZI378">
        <v>0.05</v>
      </c>
      <c r="DZJ378">
        <v>1</v>
      </c>
      <c r="DZK378" t="s">
        <v>531</v>
      </c>
      <c r="DZL378" t="str">
        <f>"628669010033"</f>
        <v>628669010033</v>
      </c>
      <c r="DZM378" t="str">
        <f>"0419671"</f>
        <v>0419671</v>
      </c>
      <c r="DZN378" t="s">
        <v>199</v>
      </c>
      <c r="DZO378" t="s">
        <v>25</v>
      </c>
      <c r="DZP378">
        <v>24</v>
      </c>
      <c r="DZQ378">
        <v>0.05</v>
      </c>
      <c r="DZR378">
        <v>1</v>
      </c>
      <c r="DZS378" t="s">
        <v>531</v>
      </c>
      <c r="DZT378" t="str">
        <f>"628669010033"</f>
        <v>628669010033</v>
      </c>
      <c r="DZU378" t="str">
        <f>"0419671"</f>
        <v>0419671</v>
      </c>
      <c r="DZV378" t="s">
        <v>199</v>
      </c>
      <c r="DZW378" t="s">
        <v>25</v>
      </c>
      <c r="DZX378">
        <v>24</v>
      </c>
      <c r="DZY378">
        <v>0.05</v>
      </c>
      <c r="DZZ378">
        <v>1</v>
      </c>
      <c r="EAA378" t="s">
        <v>531</v>
      </c>
      <c r="EAB378" t="str">
        <f>"628669010033"</f>
        <v>628669010033</v>
      </c>
      <c r="EAC378" t="str">
        <f>"0419671"</f>
        <v>0419671</v>
      </c>
      <c r="EAD378" t="s">
        <v>199</v>
      </c>
      <c r="EAE378" t="s">
        <v>25</v>
      </c>
      <c r="EAF378">
        <v>24</v>
      </c>
      <c r="EAG378">
        <v>0.05</v>
      </c>
      <c r="EAH378">
        <v>1</v>
      </c>
      <c r="EAI378" t="s">
        <v>531</v>
      </c>
      <c r="EAJ378" t="str">
        <f>"628669010033"</f>
        <v>628669010033</v>
      </c>
      <c r="EAK378" t="str">
        <f>"0419671"</f>
        <v>0419671</v>
      </c>
      <c r="EAL378" t="s">
        <v>199</v>
      </c>
      <c r="EAM378" t="s">
        <v>25</v>
      </c>
      <c r="EAN378">
        <v>24</v>
      </c>
      <c r="EAO378">
        <v>0.05</v>
      </c>
      <c r="EAP378">
        <v>1</v>
      </c>
      <c r="EAQ378" t="s">
        <v>531</v>
      </c>
      <c r="EAR378" t="str">
        <f>"628669010033"</f>
        <v>628669010033</v>
      </c>
      <c r="EAS378" t="str">
        <f>"0419671"</f>
        <v>0419671</v>
      </c>
      <c r="EAT378" t="s">
        <v>199</v>
      </c>
      <c r="EAU378" t="s">
        <v>25</v>
      </c>
      <c r="EAV378">
        <v>24</v>
      </c>
      <c r="EAW378">
        <v>0.05</v>
      </c>
      <c r="EAX378">
        <v>1</v>
      </c>
      <c r="EAY378" t="s">
        <v>531</v>
      </c>
      <c r="EAZ378" t="str">
        <f>"628669010033"</f>
        <v>628669010033</v>
      </c>
      <c r="EBA378" t="str">
        <f>"0419671"</f>
        <v>0419671</v>
      </c>
      <c r="EBB378" t="s">
        <v>199</v>
      </c>
      <c r="EBC378" t="s">
        <v>25</v>
      </c>
      <c r="EBD378">
        <v>24</v>
      </c>
      <c r="EBE378">
        <v>0.05</v>
      </c>
      <c r="EBF378">
        <v>1</v>
      </c>
      <c r="EBG378" t="s">
        <v>531</v>
      </c>
      <c r="EBH378" t="str">
        <f>"628669010033"</f>
        <v>628669010033</v>
      </c>
      <c r="EBI378" t="str">
        <f>"0419671"</f>
        <v>0419671</v>
      </c>
      <c r="EBJ378" t="s">
        <v>199</v>
      </c>
      <c r="EBK378" t="s">
        <v>25</v>
      </c>
      <c r="EBL378">
        <v>24</v>
      </c>
      <c r="EBM378">
        <v>0.05</v>
      </c>
      <c r="EBN378">
        <v>1</v>
      </c>
      <c r="EBO378" t="s">
        <v>531</v>
      </c>
      <c r="EBP378" t="str">
        <f>"628669010033"</f>
        <v>628669010033</v>
      </c>
      <c r="EBQ378" t="str">
        <f>"0419671"</f>
        <v>0419671</v>
      </c>
      <c r="EBR378" t="s">
        <v>199</v>
      </c>
      <c r="EBS378" t="s">
        <v>25</v>
      </c>
      <c r="EBT378">
        <v>24</v>
      </c>
      <c r="EBU378">
        <v>0.05</v>
      </c>
      <c r="EBV378">
        <v>1</v>
      </c>
      <c r="EBW378" t="s">
        <v>531</v>
      </c>
      <c r="EBX378" t="str">
        <f>"628669010033"</f>
        <v>628669010033</v>
      </c>
      <c r="EBY378" t="str">
        <f>"0419671"</f>
        <v>0419671</v>
      </c>
      <c r="EBZ378" t="s">
        <v>199</v>
      </c>
      <c r="ECA378" t="s">
        <v>25</v>
      </c>
      <c r="ECB378">
        <v>24</v>
      </c>
      <c r="ECC378">
        <v>0.05</v>
      </c>
      <c r="ECD378">
        <v>1</v>
      </c>
      <c r="ECE378" t="s">
        <v>531</v>
      </c>
      <c r="ECF378" t="str">
        <f>"628669010033"</f>
        <v>628669010033</v>
      </c>
      <c r="ECG378" t="str">
        <f>"0419671"</f>
        <v>0419671</v>
      </c>
      <c r="ECH378" t="s">
        <v>199</v>
      </c>
      <c r="ECI378" t="s">
        <v>25</v>
      </c>
      <c r="ECJ378">
        <v>24</v>
      </c>
      <c r="ECK378">
        <v>0.05</v>
      </c>
      <c r="ECL378">
        <v>1</v>
      </c>
      <c r="ECM378" t="s">
        <v>531</v>
      </c>
      <c r="ECN378" t="str">
        <f>"628669010033"</f>
        <v>628669010033</v>
      </c>
      <c r="ECO378" t="str">
        <f>"0419671"</f>
        <v>0419671</v>
      </c>
      <c r="ECP378" t="s">
        <v>199</v>
      </c>
      <c r="ECQ378" t="s">
        <v>25</v>
      </c>
      <c r="ECR378">
        <v>24</v>
      </c>
      <c r="ECS378">
        <v>0.05</v>
      </c>
      <c r="ECT378">
        <v>1</v>
      </c>
      <c r="ECU378" t="s">
        <v>531</v>
      </c>
      <c r="ECV378" t="str">
        <f>"628669010033"</f>
        <v>628669010033</v>
      </c>
      <c r="ECW378" t="str">
        <f>"0419671"</f>
        <v>0419671</v>
      </c>
      <c r="ECX378" t="s">
        <v>199</v>
      </c>
      <c r="ECY378" t="s">
        <v>25</v>
      </c>
      <c r="ECZ378">
        <v>24</v>
      </c>
      <c r="EDA378">
        <v>0.05</v>
      </c>
      <c r="EDB378">
        <v>1</v>
      </c>
      <c r="EDC378" t="s">
        <v>531</v>
      </c>
      <c r="EDD378" t="str">
        <f>"628669010033"</f>
        <v>628669010033</v>
      </c>
      <c r="EDE378" t="str">
        <f>"0419671"</f>
        <v>0419671</v>
      </c>
      <c r="EDF378" t="s">
        <v>199</v>
      </c>
      <c r="EDG378" t="s">
        <v>25</v>
      </c>
      <c r="EDH378">
        <v>24</v>
      </c>
      <c r="EDI378">
        <v>0.05</v>
      </c>
      <c r="EDJ378">
        <v>1</v>
      </c>
      <c r="EDK378" t="s">
        <v>531</v>
      </c>
      <c r="EDL378" t="str">
        <f>"628669010033"</f>
        <v>628669010033</v>
      </c>
      <c r="EDM378" t="str">
        <f>"0419671"</f>
        <v>0419671</v>
      </c>
      <c r="EDN378" t="s">
        <v>199</v>
      </c>
      <c r="EDO378" t="s">
        <v>25</v>
      </c>
      <c r="EDP378">
        <v>24</v>
      </c>
      <c r="EDQ378">
        <v>0.05</v>
      </c>
      <c r="EDR378">
        <v>1</v>
      </c>
      <c r="EDS378" t="s">
        <v>531</v>
      </c>
      <c r="EDT378" t="str">
        <f>"628669010033"</f>
        <v>628669010033</v>
      </c>
      <c r="EDU378" t="str">
        <f>"0419671"</f>
        <v>0419671</v>
      </c>
      <c r="EDV378" t="s">
        <v>199</v>
      </c>
      <c r="EDW378" t="s">
        <v>25</v>
      </c>
      <c r="EDX378">
        <v>24</v>
      </c>
      <c r="EDY378">
        <v>0.05</v>
      </c>
      <c r="EDZ378">
        <v>1</v>
      </c>
      <c r="EEA378" t="s">
        <v>531</v>
      </c>
      <c r="EEB378" t="str">
        <f>"628669010033"</f>
        <v>628669010033</v>
      </c>
      <c r="EEC378" t="str">
        <f>"0419671"</f>
        <v>0419671</v>
      </c>
      <c r="EED378" t="s">
        <v>199</v>
      </c>
      <c r="EEE378" t="s">
        <v>25</v>
      </c>
      <c r="EEF378">
        <v>24</v>
      </c>
      <c r="EEG378">
        <v>0.05</v>
      </c>
      <c r="EEH378">
        <v>1</v>
      </c>
      <c r="EEI378" t="s">
        <v>531</v>
      </c>
      <c r="EEJ378" t="str">
        <f>"628669010033"</f>
        <v>628669010033</v>
      </c>
      <c r="EEK378" t="str">
        <f>"0419671"</f>
        <v>0419671</v>
      </c>
      <c r="EEL378" t="s">
        <v>199</v>
      </c>
      <c r="EEM378" t="s">
        <v>25</v>
      </c>
      <c r="EEN378">
        <v>24</v>
      </c>
      <c r="EEO378">
        <v>0.05</v>
      </c>
      <c r="EEP378">
        <v>1</v>
      </c>
      <c r="EEQ378" t="s">
        <v>531</v>
      </c>
      <c r="EER378" t="str">
        <f>"628669010033"</f>
        <v>628669010033</v>
      </c>
      <c r="EES378" t="str">
        <f>"0419671"</f>
        <v>0419671</v>
      </c>
      <c r="EET378" t="s">
        <v>199</v>
      </c>
      <c r="EEU378" t="s">
        <v>25</v>
      </c>
      <c r="EEV378">
        <v>24</v>
      </c>
      <c r="EEW378">
        <v>0.05</v>
      </c>
      <c r="EEX378">
        <v>1</v>
      </c>
      <c r="EEY378" t="s">
        <v>531</v>
      </c>
      <c r="EEZ378" t="str">
        <f>"628669010033"</f>
        <v>628669010033</v>
      </c>
      <c r="EFA378" t="str">
        <f>"0419671"</f>
        <v>0419671</v>
      </c>
      <c r="EFB378" t="s">
        <v>199</v>
      </c>
      <c r="EFC378" t="s">
        <v>25</v>
      </c>
      <c r="EFD378">
        <v>24</v>
      </c>
      <c r="EFE378">
        <v>0.05</v>
      </c>
      <c r="EFF378">
        <v>1</v>
      </c>
      <c r="EFG378" t="s">
        <v>531</v>
      </c>
      <c r="EFH378" t="str">
        <f>"628669010033"</f>
        <v>628669010033</v>
      </c>
      <c r="EFI378" t="str">
        <f>"0419671"</f>
        <v>0419671</v>
      </c>
      <c r="EFJ378" t="s">
        <v>199</v>
      </c>
      <c r="EFK378" t="s">
        <v>25</v>
      </c>
      <c r="EFL378">
        <v>24</v>
      </c>
      <c r="EFM378">
        <v>0.05</v>
      </c>
      <c r="EFN378">
        <v>1</v>
      </c>
      <c r="EFO378" t="s">
        <v>531</v>
      </c>
      <c r="EFP378" t="str">
        <f>"628669010033"</f>
        <v>628669010033</v>
      </c>
      <c r="EFQ378" t="str">
        <f>"0419671"</f>
        <v>0419671</v>
      </c>
      <c r="EFR378" t="s">
        <v>199</v>
      </c>
      <c r="EFS378" t="s">
        <v>25</v>
      </c>
      <c r="EFT378">
        <v>24</v>
      </c>
      <c r="EFU378">
        <v>0.05</v>
      </c>
      <c r="EFV378">
        <v>1</v>
      </c>
      <c r="EFW378" t="s">
        <v>531</v>
      </c>
      <c r="EFX378" t="str">
        <f>"628669010033"</f>
        <v>628669010033</v>
      </c>
      <c r="EFY378" t="str">
        <f>"0419671"</f>
        <v>0419671</v>
      </c>
      <c r="EFZ378" t="s">
        <v>199</v>
      </c>
      <c r="EGA378" t="s">
        <v>25</v>
      </c>
      <c r="EGB378">
        <v>24</v>
      </c>
      <c r="EGC378">
        <v>0.05</v>
      </c>
      <c r="EGD378">
        <v>1</v>
      </c>
      <c r="EGE378" t="s">
        <v>531</v>
      </c>
      <c r="EGF378" t="str">
        <f>"628669010033"</f>
        <v>628669010033</v>
      </c>
      <c r="EGG378" t="str">
        <f>"0419671"</f>
        <v>0419671</v>
      </c>
      <c r="EGH378" t="s">
        <v>199</v>
      </c>
      <c r="EGI378" t="s">
        <v>25</v>
      </c>
      <c r="EGJ378">
        <v>24</v>
      </c>
      <c r="EGK378">
        <v>0.05</v>
      </c>
      <c r="EGL378">
        <v>1</v>
      </c>
      <c r="EGM378" t="s">
        <v>531</v>
      </c>
      <c r="EGN378" t="str">
        <f>"628669010033"</f>
        <v>628669010033</v>
      </c>
      <c r="EGO378" t="str">
        <f>"0419671"</f>
        <v>0419671</v>
      </c>
      <c r="EGP378" t="s">
        <v>199</v>
      </c>
      <c r="EGQ378" t="s">
        <v>25</v>
      </c>
      <c r="EGR378">
        <v>24</v>
      </c>
      <c r="EGS378">
        <v>0.05</v>
      </c>
      <c r="EGT378">
        <v>1</v>
      </c>
      <c r="EGU378" t="s">
        <v>531</v>
      </c>
      <c r="EGV378" t="str">
        <f>"628669010033"</f>
        <v>628669010033</v>
      </c>
      <c r="EGW378" t="str">
        <f>"0419671"</f>
        <v>0419671</v>
      </c>
      <c r="EGX378" t="s">
        <v>199</v>
      </c>
      <c r="EGY378" t="s">
        <v>25</v>
      </c>
      <c r="EGZ378">
        <v>24</v>
      </c>
      <c r="EHA378">
        <v>0.05</v>
      </c>
      <c r="EHB378">
        <v>1</v>
      </c>
      <c r="EHC378" t="s">
        <v>531</v>
      </c>
      <c r="EHD378" t="str">
        <f>"628669010033"</f>
        <v>628669010033</v>
      </c>
      <c r="EHE378" t="str">
        <f>"0419671"</f>
        <v>0419671</v>
      </c>
      <c r="EHF378" t="s">
        <v>199</v>
      </c>
      <c r="EHG378" t="s">
        <v>25</v>
      </c>
      <c r="EHH378">
        <v>24</v>
      </c>
      <c r="EHI378">
        <v>0.05</v>
      </c>
      <c r="EHJ378">
        <v>1</v>
      </c>
      <c r="EHK378" t="s">
        <v>531</v>
      </c>
      <c r="EHL378" t="str">
        <f>"628669010033"</f>
        <v>628669010033</v>
      </c>
      <c r="EHM378" t="str">
        <f>"0419671"</f>
        <v>0419671</v>
      </c>
      <c r="EHN378" t="s">
        <v>199</v>
      </c>
      <c r="EHO378" t="s">
        <v>25</v>
      </c>
      <c r="EHP378">
        <v>24</v>
      </c>
      <c r="EHQ378">
        <v>0.05</v>
      </c>
      <c r="EHR378">
        <v>1</v>
      </c>
      <c r="EHS378" t="s">
        <v>531</v>
      </c>
      <c r="EHT378" t="str">
        <f>"628669010033"</f>
        <v>628669010033</v>
      </c>
      <c r="EHU378" t="str">
        <f>"0419671"</f>
        <v>0419671</v>
      </c>
      <c r="EHV378" t="s">
        <v>199</v>
      </c>
      <c r="EHW378" t="s">
        <v>25</v>
      </c>
      <c r="EHX378">
        <v>24</v>
      </c>
      <c r="EHY378">
        <v>0.05</v>
      </c>
      <c r="EHZ378">
        <v>1</v>
      </c>
      <c r="EIA378" t="s">
        <v>531</v>
      </c>
      <c r="EIB378" t="str">
        <f>"628669010033"</f>
        <v>628669010033</v>
      </c>
      <c r="EIC378" t="str">
        <f>"0419671"</f>
        <v>0419671</v>
      </c>
      <c r="EID378" t="s">
        <v>199</v>
      </c>
      <c r="EIE378" t="s">
        <v>25</v>
      </c>
      <c r="EIF378">
        <v>24</v>
      </c>
      <c r="EIG378">
        <v>0.05</v>
      </c>
      <c r="EIH378">
        <v>1</v>
      </c>
      <c r="EII378" t="s">
        <v>531</v>
      </c>
      <c r="EIJ378" t="str">
        <f>"628669010033"</f>
        <v>628669010033</v>
      </c>
      <c r="EIK378" t="str">
        <f>"0419671"</f>
        <v>0419671</v>
      </c>
      <c r="EIL378" t="s">
        <v>199</v>
      </c>
      <c r="EIM378" t="s">
        <v>25</v>
      </c>
      <c r="EIN378">
        <v>24</v>
      </c>
      <c r="EIO378">
        <v>0.05</v>
      </c>
      <c r="EIP378">
        <v>1</v>
      </c>
      <c r="EIQ378" t="s">
        <v>531</v>
      </c>
      <c r="EIR378" t="str">
        <f>"628669010033"</f>
        <v>628669010033</v>
      </c>
      <c r="EIS378" t="str">
        <f>"0419671"</f>
        <v>0419671</v>
      </c>
      <c r="EIT378" t="s">
        <v>199</v>
      </c>
      <c r="EIU378" t="s">
        <v>25</v>
      </c>
      <c r="EIV378">
        <v>24</v>
      </c>
      <c r="EIW378">
        <v>0.05</v>
      </c>
      <c r="EIX378">
        <v>1</v>
      </c>
      <c r="EIY378" t="s">
        <v>531</v>
      </c>
      <c r="EIZ378" t="str">
        <f>"628669010033"</f>
        <v>628669010033</v>
      </c>
      <c r="EJA378" t="str">
        <f>"0419671"</f>
        <v>0419671</v>
      </c>
      <c r="EJB378" t="s">
        <v>199</v>
      </c>
      <c r="EJC378" t="s">
        <v>25</v>
      </c>
      <c r="EJD378">
        <v>24</v>
      </c>
      <c r="EJE378">
        <v>0.05</v>
      </c>
      <c r="EJF378">
        <v>1</v>
      </c>
      <c r="EJG378" t="s">
        <v>531</v>
      </c>
      <c r="EJH378" t="str">
        <f>"628669010033"</f>
        <v>628669010033</v>
      </c>
      <c r="EJI378" t="str">
        <f>"0419671"</f>
        <v>0419671</v>
      </c>
      <c r="EJJ378" t="s">
        <v>199</v>
      </c>
      <c r="EJK378" t="s">
        <v>25</v>
      </c>
      <c r="EJL378">
        <v>24</v>
      </c>
      <c r="EJM378">
        <v>0.05</v>
      </c>
      <c r="EJN378">
        <v>1</v>
      </c>
      <c r="EJO378" t="s">
        <v>531</v>
      </c>
      <c r="EJP378" t="str">
        <f>"628669010033"</f>
        <v>628669010033</v>
      </c>
      <c r="EJQ378" t="str">
        <f>"0419671"</f>
        <v>0419671</v>
      </c>
      <c r="EJR378" t="s">
        <v>199</v>
      </c>
      <c r="EJS378" t="s">
        <v>25</v>
      </c>
      <c r="EJT378">
        <v>24</v>
      </c>
      <c r="EJU378">
        <v>0.05</v>
      </c>
      <c r="EJV378">
        <v>1</v>
      </c>
      <c r="EJW378" t="s">
        <v>531</v>
      </c>
      <c r="EJX378" t="str">
        <f>"628669010033"</f>
        <v>628669010033</v>
      </c>
      <c r="EJY378" t="str">
        <f>"0419671"</f>
        <v>0419671</v>
      </c>
      <c r="EJZ378" t="s">
        <v>199</v>
      </c>
      <c r="EKA378" t="s">
        <v>25</v>
      </c>
      <c r="EKB378">
        <v>24</v>
      </c>
      <c r="EKC378">
        <v>0.05</v>
      </c>
      <c r="EKD378">
        <v>1</v>
      </c>
      <c r="EKE378" t="s">
        <v>531</v>
      </c>
      <c r="EKF378" t="str">
        <f>"628669010033"</f>
        <v>628669010033</v>
      </c>
      <c r="EKG378" t="str">
        <f>"0419671"</f>
        <v>0419671</v>
      </c>
      <c r="EKH378" t="s">
        <v>199</v>
      </c>
      <c r="EKI378" t="s">
        <v>25</v>
      </c>
      <c r="EKJ378">
        <v>24</v>
      </c>
      <c r="EKK378">
        <v>0.05</v>
      </c>
      <c r="EKL378">
        <v>1</v>
      </c>
      <c r="EKM378" t="s">
        <v>531</v>
      </c>
      <c r="EKN378" t="str">
        <f>"628669010033"</f>
        <v>628669010033</v>
      </c>
      <c r="EKO378" t="str">
        <f>"0419671"</f>
        <v>0419671</v>
      </c>
      <c r="EKP378" t="s">
        <v>199</v>
      </c>
      <c r="EKQ378" t="s">
        <v>25</v>
      </c>
      <c r="EKR378">
        <v>24</v>
      </c>
      <c r="EKS378">
        <v>0.05</v>
      </c>
      <c r="EKT378">
        <v>1</v>
      </c>
      <c r="EKU378" t="s">
        <v>531</v>
      </c>
      <c r="EKV378" t="str">
        <f>"628669010033"</f>
        <v>628669010033</v>
      </c>
      <c r="EKW378" t="str">
        <f>"0419671"</f>
        <v>0419671</v>
      </c>
      <c r="EKX378" t="s">
        <v>199</v>
      </c>
      <c r="EKY378" t="s">
        <v>25</v>
      </c>
      <c r="EKZ378">
        <v>24</v>
      </c>
      <c r="ELA378">
        <v>0.05</v>
      </c>
      <c r="ELB378">
        <v>1</v>
      </c>
      <c r="ELC378" t="s">
        <v>531</v>
      </c>
      <c r="ELD378" t="str">
        <f>"628669010033"</f>
        <v>628669010033</v>
      </c>
      <c r="ELE378" t="str">
        <f>"0419671"</f>
        <v>0419671</v>
      </c>
      <c r="ELF378" t="s">
        <v>199</v>
      </c>
      <c r="ELG378" t="s">
        <v>25</v>
      </c>
      <c r="ELH378">
        <v>24</v>
      </c>
      <c r="ELI378">
        <v>0.05</v>
      </c>
      <c r="ELJ378">
        <v>1</v>
      </c>
      <c r="ELK378" t="s">
        <v>531</v>
      </c>
      <c r="ELL378" t="str">
        <f>"628669010033"</f>
        <v>628669010033</v>
      </c>
      <c r="ELM378" t="str">
        <f>"0419671"</f>
        <v>0419671</v>
      </c>
      <c r="ELN378" t="s">
        <v>199</v>
      </c>
      <c r="ELO378" t="s">
        <v>25</v>
      </c>
      <c r="ELP378">
        <v>24</v>
      </c>
      <c r="ELQ378">
        <v>0.05</v>
      </c>
      <c r="ELR378">
        <v>1</v>
      </c>
      <c r="ELS378" t="s">
        <v>531</v>
      </c>
      <c r="ELT378" t="str">
        <f>"628669010033"</f>
        <v>628669010033</v>
      </c>
      <c r="ELU378" t="str">
        <f>"0419671"</f>
        <v>0419671</v>
      </c>
      <c r="ELV378" t="s">
        <v>199</v>
      </c>
      <c r="ELW378" t="s">
        <v>25</v>
      </c>
      <c r="ELX378">
        <v>24</v>
      </c>
      <c r="ELY378">
        <v>0.05</v>
      </c>
      <c r="ELZ378">
        <v>1</v>
      </c>
      <c r="EMA378" t="s">
        <v>531</v>
      </c>
      <c r="EMB378" t="str">
        <f>"628669010033"</f>
        <v>628669010033</v>
      </c>
      <c r="EMC378" t="str">
        <f>"0419671"</f>
        <v>0419671</v>
      </c>
      <c r="EMD378" t="s">
        <v>199</v>
      </c>
      <c r="EME378" t="s">
        <v>25</v>
      </c>
      <c r="EMF378">
        <v>24</v>
      </c>
      <c r="EMG378">
        <v>0.05</v>
      </c>
      <c r="EMH378">
        <v>1</v>
      </c>
      <c r="EMI378" t="s">
        <v>531</v>
      </c>
      <c r="EMJ378" t="str">
        <f>"628669010033"</f>
        <v>628669010033</v>
      </c>
      <c r="EMK378" t="str">
        <f>"0419671"</f>
        <v>0419671</v>
      </c>
      <c r="EML378" t="s">
        <v>199</v>
      </c>
      <c r="EMM378" t="s">
        <v>25</v>
      </c>
      <c r="EMN378">
        <v>24</v>
      </c>
      <c r="EMO378">
        <v>0.05</v>
      </c>
      <c r="EMP378">
        <v>1</v>
      </c>
      <c r="EMQ378" t="s">
        <v>531</v>
      </c>
      <c r="EMR378" t="str">
        <f>"628669010033"</f>
        <v>628669010033</v>
      </c>
      <c r="EMS378" t="str">
        <f>"0419671"</f>
        <v>0419671</v>
      </c>
      <c r="EMT378" t="s">
        <v>199</v>
      </c>
      <c r="EMU378" t="s">
        <v>25</v>
      </c>
      <c r="EMV378">
        <v>24</v>
      </c>
      <c r="EMW378">
        <v>0.05</v>
      </c>
      <c r="EMX378">
        <v>1</v>
      </c>
      <c r="EMY378" t="s">
        <v>531</v>
      </c>
      <c r="EMZ378" t="str">
        <f>"628669010033"</f>
        <v>628669010033</v>
      </c>
      <c r="ENA378" t="str">
        <f>"0419671"</f>
        <v>0419671</v>
      </c>
      <c r="ENB378" t="s">
        <v>199</v>
      </c>
      <c r="ENC378" t="s">
        <v>25</v>
      </c>
      <c r="END378">
        <v>24</v>
      </c>
      <c r="ENE378">
        <v>0.05</v>
      </c>
      <c r="ENF378">
        <v>1</v>
      </c>
      <c r="ENG378" t="s">
        <v>531</v>
      </c>
      <c r="ENH378" t="str">
        <f>"628669010033"</f>
        <v>628669010033</v>
      </c>
      <c r="ENI378" t="str">
        <f>"0419671"</f>
        <v>0419671</v>
      </c>
      <c r="ENJ378" t="s">
        <v>199</v>
      </c>
      <c r="ENK378" t="s">
        <v>25</v>
      </c>
      <c r="ENL378">
        <v>24</v>
      </c>
      <c r="ENM378">
        <v>0.05</v>
      </c>
      <c r="ENN378">
        <v>1</v>
      </c>
      <c r="ENO378" t="s">
        <v>531</v>
      </c>
      <c r="ENP378" t="str">
        <f>"628669010033"</f>
        <v>628669010033</v>
      </c>
      <c r="ENQ378" t="str">
        <f>"0419671"</f>
        <v>0419671</v>
      </c>
      <c r="ENR378" t="s">
        <v>199</v>
      </c>
      <c r="ENS378" t="s">
        <v>25</v>
      </c>
      <c r="ENT378">
        <v>24</v>
      </c>
      <c r="ENU378">
        <v>0.05</v>
      </c>
      <c r="ENV378">
        <v>1</v>
      </c>
      <c r="ENW378" t="s">
        <v>531</v>
      </c>
      <c r="ENX378" t="str">
        <f>"628669010033"</f>
        <v>628669010033</v>
      </c>
      <c r="ENY378" t="str">
        <f>"0419671"</f>
        <v>0419671</v>
      </c>
      <c r="ENZ378" t="s">
        <v>199</v>
      </c>
      <c r="EOA378" t="s">
        <v>25</v>
      </c>
      <c r="EOB378">
        <v>24</v>
      </c>
      <c r="EOC378">
        <v>0.05</v>
      </c>
      <c r="EOD378">
        <v>1</v>
      </c>
      <c r="EOE378" t="s">
        <v>531</v>
      </c>
      <c r="EOF378" t="str">
        <f>"628669010033"</f>
        <v>628669010033</v>
      </c>
      <c r="EOG378" t="str">
        <f>"0419671"</f>
        <v>0419671</v>
      </c>
      <c r="EOH378" t="s">
        <v>199</v>
      </c>
      <c r="EOI378" t="s">
        <v>25</v>
      </c>
      <c r="EOJ378">
        <v>24</v>
      </c>
      <c r="EOK378">
        <v>0.05</v>
      </c>
      <c r="EOL378">
        <v>1</v>
      </c>
      <c r="EOM378" t="s">
        <v>531</v>
      </c>
      <c r="EON378" t="str">
        <f>"628669010033"</f>
        <v>628669010033</v>
      </c>
      <c r="EOO378" t="str">
        <f>"0419671"</f>
        <v>0419671</v>
      </c>
      <c r="EOP378" t="s">
        <v>199</v>
      </c>
      <c r="EOQ378" t="s">
        <v>25</v>
      </c>
      <c r="EOR378">
        <v>24</v>
      </c>
      <c r="EOS378">
        <v>0.05</v>
      </c>
      <c r="EOT378">
        <v>1</v>
      </c>
      <c r="EOU378" t="s">
        <v>531</v>
      </c>
      <c r="EOV378" t="str">
        <f>"628669010033"</f>
        <v>628669010033</v>
      </c>
      <c r="EOW378" t="str">
        <f>"0419671"</f>
        <v>0419671</v>
      </c>
      <c r="EOX378" t="s">
        <v>199</v>
      </c>
      <c r="EOY378" t="s">
        <v>25</v>
      </c>
      <c r="EOZ378">
        <v>24</v>
      </c>
      <c r="EPA378">
        <v>0.05</v>
      </c>
      <c r="EPB378">
        <v>1</v>
      </c>
      <c r="EPC378" t="s">
        <v>531</v>
      </c>
      <c r="EPD378" t="str">
        <f>"628669010033"</f>
        <v>628669010033</v>
      </c>
      <c r="EPE378" t="str">
        <f>"0419671"</f>
        <v>0419671</v>
      </c>
      <c r="EPF378" t="s">
        <v>199</v>
      </c>
      <c r="EPG378" t="s">
        <v>25</v>
      </c>
      <c r="EPH378">
        <v>24</v>
      </c>
      <c r="EPI378">
        <v>0.05</v>
      </c>
      <c r="EPJ378">
        <v>1</v>
      </c>
      <c r="EPK378" t="s">
        <v>531</v>
      </c>
      <c r="EPL378" t="str">
        <f>"628669010033"</f>
        <v>628669010033</v>
      </c>
      <c r="EPM378" t="str">
        <f>"0419671"</f>
        <v>0419671</v>
      </c>
      <c r="EPN378" t="s">
        <v>199</v>
      </c>
      <c r="EPO378" t="s">
        <v>25</v>
      </c>
      <c r="EPP378">
        <v>24</v>
      </c>
      <c r="EPQ378">
        <v>0.05</v>
      </c>
      <c r="EPR378">
        <v>1</v>
      </c>
      <c r="EPS378" t="s">
        <v>531</v>
      </c>
      <c r="EPT378" t="str">
        <f>"628669010033"</f>
        <v>628669010033</v>
      </c>
      <c r="EPU378" t="str">
        <f>"0419671"</f>
        <v>0419671</v>
      </c>
      <c r="EPV378" t="s">
        <v>199</v>
      </c>
      <c r="EPW378" t="s">
        <v>25</v>
      </c>
      <c r="EPX378">
        <v>24</v>
      </c>
      <c r="EPY378">
        <v>0.05</v>
      </c>
      <c r="EPZ378">
        <v>1</v>
      </c>
      <c r="EQA378" t="s">
        <v>531</v>
      </c>
      <c r="EQB378" t="str">
        <f>"628669010033"</f>
        <v>628669010033</v>
      </c>
      <c r="EQC378" t="str">
        <f>"0419671"</f>
        <v>0419671</v>
      </c>
      <c r="EQD378" t="s">
        <v>199</v>
      </c>
      <c r="EQE378" t="s">
        <v>25</v>
      </c>
      <c r="EQF378">
        <v>24</v>
      </c>
      <c r="EQG378">
        <v>0.05</v>
      </c>
      <c r="EQH378">
        <v>1</v>
      </c>
      <c r="EQI378" t="s">
        <v>531</v>
      </c>
      <c r="EQJ378" t="str">
        <f>"628669010033"</f>
        <v>628669010033</v>
      </c>
      <c r="EQK378" t="str">
        <f>"0419671"</f>
        <v>0419671</v>
      </c>
      <c r="EQL378" t="s">
        <v>199</v>
      </c>
      <c r="EQM378" t="s">
        <v>25</v>
      </c>
      <c r="EQN378">
        <v>24</v>
      </c>
      <c r="EQO378">
        <v>0.05</v>
      </c>
      <c r="EQP378">
        <v>1</v>
      </c>
      <c r="EQQ378" t="s">
        <v>531</v>
      </c>
      <c r="EQR378" t="str">
        <f>"628669010033"</f>
        <v>628669010033</v>
      </c>
      <c r="EQS378" t="str">
        <f>"0419671"</f>
        <v>0419671</v>
      </c>
      <c r="EQT378" t="s">
        <v>199</v>
      </c>
      <c r="EQU378" t="s">
        <v>25</v>
      </c>
      <c r="EQV378">
        <v>24</v>
      </c>
      <c r="EQW378">
        <v>0.05</v>
      </c>
      <c r="EQX378">
        <v>1</v>
      </c>
      <c r="EQY378" t="s">
        <v>531</v>
      </c>
      <c r="EQZ378" t="str">
        <f>"628669010033"</f>
        <v>628669010033</v>
      </c>
      <c r="ERA378" t="str">
        <f>"0419671"</f>
        <v>0419671</v>
      </c>
      <c r="ERB378" t="s">
        <v>199</v>
      </c>
      <c r="ERC378" t="s">
        <v>25</v>
      </c>
      <c r="ERD378">
        <v>24</v>
      </c>
      <c r="ERE378">
        <v>0.05</v>
      </c>
      <c r="ERF378">
        <v>1</v>
      </c>
      <c r="ERG378" t="s">
        <v>531</v>
      </c>
      <c r="ERH378" t="str">
        <f>"628669010033"</f>
        <v>628669010033</v>
      </c>
      <c r="ERI378" t="str">
        <f>"0419671"</f>
        <v>0419671</v>
      </c>
      <c r="ERJ378" t="s">
        <v>199</v>
      </c>
      <c r="ERK378" t="s">
        <v>25</v>
      </c>
      <c r="ERL378">
        <v>24</v>
      </c>
      <c r="ERM378">
        <v>0.05</v>
      </c>
      <c r="ERN378">
        <v>1</v>
      </c>
      <c r="ERO378" t="s">
        <v>531</v>
      </c>
      <c r="ERP378" t="str">
        <f>"628669010033"</f>
        <v>628669010033</v>
      </c>
      <c r="ERQ378" t="str">
        <f>"0419671"</f>
        <v>0419671</v>
      </c>
      <c r="ERR378" t="s">
        <v>199</v>
      </c>
      <c r="ERS378" t="s">
        <v>25</v>
      </c>
      <c r="ERT378">
        <v>24</v>
      </c>
      <c r="ERU378">
        <v>0.05</v>
      </c>
      <c r="ERV378">
        <v>1</v>
      </c>
      <c r="ERW378" t="s">
        <v>531</v>
      </c>
      <c r="ERX378" t="str">
        <f>"628669010033"</f>
        <v>628669010033</v>
      </c>
      <c r="ERY378" t="str">
        <f>"0419671"</f>
        <v>0419671</v>
      </c>
      <c r="ERZ378" t="s">
        <v>199</v>
      </c>
      <c r="ESA378" t="s">
        <v>25</v>
      </c>
      <c r="ESB378">
        <v>24</v>
      </c>
      <c r="ESC378">
        <v>0.05</v>
      </c>
      <c r="ESD378">
        <v>1</v>
      </c>
      <c r="ESE378" t="s">
        <v>531</v>
      </c>
      <c r="ESF378" t="str">
        <f>"628669010033"</f>
        <v>628669010033</v>
      </c>
      <c r="ESG378" t="str">
        <f>"0419671"</f>
        <v>0419671</v>
      </c>
      <c r="ESH378" t="s">
        <v>199</v>
      </c>
      <c r="ESI378" t="s">
        <v>25</v>
      </c>
      <c r="ESJ378">
        <v>24</v>
      </c>
      <c r="ESK378">
        <v>0.05</v>
      </c>
      <c r="ESL378">
        <v>1</v>
      </c>
      <c r="ESM378" t="s">
        <v>531</v>
      </c>
      <c r="ESN378" t="str">
        <f>"628669010033"</f>
        <v>628669010033</v>
      </c>
      <c r="ESO378" t="str">
        <f>"0419671"</f>
        <v>0419671</v>
      </c>
      <c r="ESP378" t="s">
        <v>199</v>
      </c>
      <c r="ESQ378" t="s">
        <v>25</v>
      </c>
      <c r="ESR378">
        <v>24</v>
      </c>
      <c r="ESS378">
        <v>0.05</v>
      </c>
      <c r="EST378">
        <v>1</v>
      </c>
      <c r="ESU378" t="s">
        <v>531</v>
      </c>
      <c r="ESV378" t="str">
        <f>"628669010033"</f>
        <v>628669010033</v>
      </c>
      <c r="ESW378" t="str">
        <f>"0419671"</f>
        <v>0419671</v>
      </c>
      <c r="ESX378" t="s">
        <v>199</v>
      </c>
      <c r="ESY378" t="s">
        <v>25</v>
      </c>
      <c r="ESZ378">
        <v>24</v>
      </c>
      <c r="ETA378">
        <v>0.05</v>
      </c>
      <c r="ETB378">
        <v>1</v>
      </c>
      <c r="ETC378" t="s">
        <v>531</v>
      </c>
      <c r="ETD378" t="str">
        <f>"628669010033"</f>
        <v>628669010033</v>
      </c>
      <c r="ETE378" t="str">
        <f>"0419671"</f>
        <v>0419671</v>
      </c>
      <c r="ETF378" t="s">
        <v>199</v>
      </c>
      <c r="ETG378" t="s">
        <v>25</v>
      </c>
      <c r="ETH378">
        <v>24</v>
      </c>
      <c r="ETI378">
        <v>0.05</v>
      </c>
      <c r="ETJ378">
        <v>1</v>
      </c>
      <c r="ETK378" t="s">
        <v>531</v>
      </c>
      <c r="ETL378" t="str">
        <f>"628669010033"</f>
        <v>628669010033</v>
      </c>
      <c r="ETM378" t="str">
        <f>"0419671"</f>
        <v>0419671</v>
      </c>
      <c r="ETN378" t="s">
        <v>199</v>
      </c>
      <c r="ETO378" t="s">
        <v>25</v>
      </c>
      <c r="ETP378">
        <v>24</v>
      </c>
      <c r="ETQ378">
        <v>0.05</v>
      </c>
      <c r="ETR378">
        <v>1</v>
      </c>
      <c r="ETS378" t="s">
        <v>531</v>
      </c>
      <c r="ETT378" t="str">
        <f>"628669010033"</f>
        <v>628669010033</v>
      </c>
      <c r="ETU378" t="str">
        <f>"0419671"</f>
        <v>0419671</v>
      </c>
      <c r="ETV378" t="s">
        <v>199</v>
      </c>
      <c r="ETW378" t="s">
        <v>25</v>
      </c>
      <c r="ETX378">
        <v>24</v>
      </c>
      <c r="ETY378">
        <v>0.05</v>
      </c>
      <c r="ETZ378">
        <v>1</v>
      </c>
      <c r="EUA378" t="s">
        <v>531</v>
      </c>
      <c r="EUB378" t="str">
        <f>"628669010033"</f>
        <v>628669010033</v>
      </c>
      <c r="EUC378" t="str">
        <f>"0419671"</f>
        <v>0419671</v>
      </c>
      <c r="EUD378" t="s">
        <v>199</v>
      </c>
      <c r="EUE378" t="s">
        <v>25</v>
      </c>
      <c r="EUF378">
        <v>24</v>
      </c>
      <c r="EUG378">
        <v>0.05</v>
      </c>
      <c r="EUH378">
        <v>1</v>
      </c>
      <c r="EUI378" t="s">
        <v>531</v>
      </c>
      <c r="EUJ378" t="str">
        <f>"628669010033"</f>
        <v>628669010033</v>
      </c>
      <c r="EUK378" t="str">
        <f>"0419671"</f>
        <v>0419671</v>
      </c>
      <c r="EUL378" t="s">
        <v>199</v>
      </c>
      <c r="EUM378" t="s">
        <v>25</v>
      </c>
      <c r="EUN378">
        <v>24</v>
      </c>
      <c r="EUO378">
        <v>0.05</v>
      </c>
      <c r="EUP378">
        <v>1</v>
      </c>
      <c r="EUQ378" t="s">
        <v>531</v>
      </c>
      <c r="EUR378" t="str">
        <f>"628669010033"</f>
        <v>628669010033</v>
      </c>
      <c r="EUS378" t="str">
        <f>"0419671"</f>
        <v>0419671</v>
      </c>
      <c r="EUT378" t="s">
        <v>199</v>
      </c>
      <c r="EUU378" t="s">
        <v>25</v>
      </c>
      <c r="EUV378">
        <v>24</v>
      </c>
      <c r="EUW378">
        <v>0.05</v>
      </c>
      <c r="EUX378">
        <v>1</v>
      </c>
      <c r="EUY378" t="s">
        <v>531</v>
      </c>
      <c r="EUZ378" t="str">
        <f>"628669010033"</f>
        <v>628669010033</v>
      </c>
      <c r="EVA378" t="str">
        <f>"0419671"</f>
        <v>0419671</v>
      </c>
      <c r="EVB378" t="s">
        <v>199</v>
      </c>
      <c r="EVC378" t="s">
        <v>25</v>
      </c>
      <c r="EVD378">
        <v>24</v>
      </c>
      <c r="EVE378">
        <v>0.05</v>
      </c>
      <c r="EVF378">
        <v>1</v>
      </c>
      <c r="EVG378" t="s">
        <v>531</v>
      </c>
      <c r="EVH378" t="str">
        <f>"628669010033"</f>
        <v>628669010033</v>
      </c>
      <c r="EVI378" t="str">
        <f>"0419671"</f>
        <v>0419671</v>
      </c>
      <c r="EVJ378" t="s">
        <v>199</v>
      </c>
      <c r="EVK378" t="s">
        <v>25</v>
      </c>
      <c r="EVL378">
        <v>24</v>
      </c>
      <c r="EVM378">
        <v>0.05</v>
      </c>
      <c r="EVN378">
        <v>1</v>
      </c>
      <c r="EVO378" t="s">
        <v>531</v>
      </c>
      <c r="EVP378" t="str">
        <f>"628669010033"</f>
        <v>628669010033</v>
      </c>
      <c r="EVQ378" t="str">
        <f>"0419671"</f>
        <v>0419671</v>
      </c>
      <c r="EVR378" t="s">
        <v>199</v>
      </c>
      <c r="EVS378" t="s">
        <v>25</v>
      </c>
      <c r="EVT378">
        <v>24</v>
      </c>
      <c r="EVU378">
        <v>0.05</v>
      </c>
      <c r="EVV378">
        <v>1</v>
      </c>
      <c r="EVW378" t="s">
        <v>531</v>
      </c>
      <c r="EVX378" t="str">
        <f>"628669010033"</f>
        <v>628669010033</v>
      </c>
      <c r="EVY378" t="str">
        <f>"0419671"</f>
        <v>0419671</v>
      </c>
      <c r="EVZ378" t="s">
        <v>199</v>
      </c>
      <c r="EWA378" t="s">
        <v>25</v>
      </c>
      <c r="EWB378">
        <v>24</v>
      </c>
      <c r="EWC378">
        <v>0.05</v>
      </c>
      <c r="EWD378">
        <v>1</v>
      </c>
      <c r="EWE378" t="s">
        <v>531</v>
      </c>
      <c r="EWF378" t="str">
        <f>"628669010033"</f>
        <v>628669010033</v>
      </c>
      <c r="EWG378" t="str">
        <f>"0419671"</f>
        <v>0419671</v>
      </c>
      <c r="EWH378" t="s">
        <v>199</v>
      </c>
      <c r="EWI378" t="s">
        <v>25</v>
      </c>
      <c r="EWJ378">
        <v>24</v>
      </c>
      <c r="EWK378">
        <v>0.05</v>
      </c>
      <c r="EWL378">
        <v>1</v>
      </c>
      <c r="EWM378" t="s">
        <v>531</v>
      </c>
      <c r="EWN378" t="str">
        <f>"628669010033"</f>
        <v>628669010033</v>
      </c>
      <c r="EWO378" t="str">
        <f>"0419671"</f>
        <v>0419671</v>
      </c>
      <c r="EWP378" t="s">
        <v>199</v>
      </c>
      <c r="EWQ378" t="s">
        <v>25</v>
      </c>
      <c r="EWR378">
        <v>24</v>
      </c>
      <c r="EWS378">
        <v>0.05</v>
      </c>
      <c r="EWT378">
        <v>1</v>
      </c>
      <c r="EWU378" t="s">
        <v>531</v>
      </c>
      <c r="EWV378" t="str">
        <f>"628669010033"</f>
        <v>628669010033</v>
      </c>
      <c r="EWW378" t="str">
        <f>"0419671"</f>
        <v>0419671</v>
      </c>
      <c r="EWX378" t="s">
        <v>199</v>
      </c>
      <c r="EWY378" t="s">
        <v>25</v>
      </c>
      <c r="EWZ378">
        <v>24</v>
      </c>
      <c r="EXA378">
        <v>0.05</v>
      </c>
      <c r="EXB378">
        <v>1</v>
      </c>
      <c r="EXC378" t="s">
        <v>531</v>
      </c>
      <c r="EXD378" t="str">
        <f>"628669010033"</f>
        <v>628669010033</v>
      </c>
      <c r="EXE378" t="str">
        <f>"0419671"</f>
        <v>0419671</v>
      </c>
      <c r="EXF378" t="s">
        <v>199</v>
      </c>
      <c r="EXG378" t="s">
        <v>25</v>
      </c>
      <c r="EXH378">
        <v>24</v>
      </c>
      <c r="EXI378">
        <v>0.05</v>
      </c>
      <c r="EXJ378">
        <v>1</v>
      </c>
      <c r="EXK378" t="s">
        <v>531</v>
      </c>
      <c r="EXL378" t="str">
        <f>"628669010033"</f>
        <v>628669010033</v>
      </c>
      <c r="EXM378" t="str">
        <f>"0419671"</f>
        <v>0419671</v>
      </c>
      <c r="EXN378" t="s">
        <v>199</v>
      </c>
      <c r="EXO378" t="s">
        <v>25</v>
      </c>
      <c r="EXP378">
        <v>24</v>
      </c>
      <c r="EXQ378">
        <v>0.05</v>
      </c>
      <c r="EXR378">
        <v>1</v>
      </c>
      <c r="EXS378" t="s">
        <v>531</v>
      </c>
      <c r="EXT378" t="str">
        <f>"628669010033"</f>
        <v>628669010033</v>
      </c>
      <c r="EXU378" t="str">
        <f>"0419671"</f>
        <v>0419671</v>
      </c>
      <c r="EXV378" t="s">
        <v>199</v>
      </c>
      <c r="EXW378" t="s">
        <v>25</v>
      </c>
      <c r="EXX378">
        <v>24</v>
      </c>
      <c r="EXY378">
        <v>0.05</v>
      </c>
      <c r="EXZ378">
        <v>1</v>
      </c>
      <c r="EYA378" t="s">
        <v>531</v>
      </c>
      <c r="EYB378" t="str">
        <f>"628669010033"</f>
        <v>628669010033</v>
      </c>
      <c r="EYC378" t="str">
        <f>"0419671"</f>
        <v>0419671</v>
      </c>
      <c r="EYD378" t="s">
        <v>199</v>
      </c>
      <c r="EYE378" t="s">
        <v>25</v>
      </c>
      <c r="EYF378">
        <v>24</v>
      </c>
      <c r="EYG378">
        <v>0.05</v>
      </c>
      <c r="EYH378">
        <v>1</v>
      </c>
      <c r="EYI378" t="s">
        <v>531</v>
      </c>
      <c r="EYJ378" t="str">
        <f>"628669010033"</f>
        <v>628669010033</v>
      </c>
      <c r="EYK378" t="str">
        <f>"0419671"</f>
        <v>0419671</v>
      </c>
      <c r="EYL378" t="s">
        <v>199</v>
      </c>
      <c r="EYM378" t="s">
        <v>25</v>
      </c>
      <c r="EYN378">
        <v>24</v>
      </c>
      <c r="EYO378">
        <v>0.05</v>
      </c>
      <c r="EYP378">
        <v>1</v>
      </c>
      <c r="EYQ378" t="s">
        <v>531</v>
      </c>
      <c r="EYR378" t="str">
        <f>"628669010033"</f>
        <v>628669010033</v>
      </c>
      <c r="EYS378" t="str">
        <f>"0419671"</f>
        <v>0419671</v>
      </c>
      <c r="EYT378" t="s">
        <v>199</v>
      </c>
      <c r="EYU378" t="s">
        <v>25</v>
      </c>
      <c r="EYV378">
        <v>24</v>
      </c>
      <c r="EYW378">
        <v>0.05</v>
      </c>
      <c r="EYX378">
        <v>1</v>
      </c>
      <c r="EYY378" t="s">
        <v>531</v>
      </c>
      <c r="EYZ378" t="str">
        <f>"628669010033"</f>
        <v>628669010033</v>
      </c>
      <c r="EZA378" t="str">
        <f>"0419671"</f>
        <v>0419671</v>
      </c>
      <c r="EZB378" t="s">
        <v>199</v>
      </c>
      <c r="EZC378" t="s">
        <v>25</v>
      </c>
      <c r="EZD378">
        <v>24</v>
      </c>
      <c r="EZE378">
        <v>0.05</v>
      </c>
      <c r="EZF378">
        <v>1</v>
      </c>
      <c r="EZG378" t="s">
        <v>531</v>
      </c>
      <c r="EZH378" t="str">
        <f>"628669010033"</f>
        <v>628669010033</v>
      </c>
      <c r="EZI378" t="str">
        <f>"0419671"</f>
        <v>0419671</v>
      </c>
      <c r="EZJ378" t="s">
        <v>199</v>
      </c>
      <c r="EZK378" t="s">
        <v>25</v>
      </c>
      <c r="EZL378">
        <v>24</v>
      </c>
      <c r="EZM378">
        <v>0.05</v>
      </c>
      <c r="EZN378">
        <v>1</v>
      </c>
      <c r="EZO378" t="s">
        <v>531</v>
      </c>
      <c r="EZP378" t="str">
        <f>"628669010033"</f>
        <v>628669010033</v>
      </c>
      <c r="EZQ378" t="str">
        <f>"0419671"</f>
        <v>0419671</v>
      </c>
      <c r="EZR378" t="s">
        <v>199</v>
      </c>
      <c r="EZS378" t="s">
        <v>25</v>
      </c>
      <c r="EZT378">
        <v>24</v>
      </c>
      <c r="EZU378">
        <v>0.05</v>
      </c>
      <c r="EZV378">
        <v>1</v>
      </c>
      <c r="EZW378" t="s">
        <v>531</v>
      </c>
      <c r="EZX378" t="str">
        <f>"628669010033"</f>
        <v>628669010033</v>
      </c>
      <c r="EZY378" t="str">
        <f>"0419671"</f>
        <v>0419671</v>
      </c>
      <c r="EZZ378" t="s">
        <v>199</v>
      </c>
      <c r="FAA378" t="s">
        <v>25</v>
      </c>
      <c r="FAB378">
        <v>24</v>
      </c>
      <c r="FAC378">
        <v>0.05</v>
      </c>
      <c r="FAD378">
        <v>1</v>
      </c>
      <c r="FAE378" t="s">
        <v>531</v>
      </c>
      <c r="FAF378" t="str">
        <f>"628669010033"</f>
        <v>628669010033</v>
      </c>
      <c r="FAG378" t="str">
        <f>"0419671"</f>
        <v>0419671</v>
      </c>
      <c r="FAH378" t="s">
        <v>199</v>
      </c>
      <c r="FAI378" t="s">
        <v>25</v>
      </c>
      <c r="FAJ378">
        <v>24</v>
      </c>
      <c r="FAK378">
        <v>0.05</v>
      </c>
      <c r="FAL378">
        <v>1</v>
      </c>
      <c r="FAM378" t="s">
        <v>531</v>
      </c>
      <c r="FAN378" t="str">
        <f>"628669010033"</f>
        <v>628669010033</v>
      </c>
      <c r="FAO378" t="str">
        <f>"0419671"</f>
        <v>0419671</v>
      </c>
      <c r="FAP378" t="s">
        <v>199</v>
      </c>
      <c r="FAQ378" t="s">
        <v>25</v>
      </c>
      <c r="FAR378">
        <v>24</v>
      </c>
      <c r="FAS378">
        <v>0.05</v>
      </c>
      <c r="FAT378">
        <v>1</v>
      </c>
      <c r="FAU378" t="s">
        <v>531</v>
      </c>
      <c r="FAV378" t="str">
        <f>"628669010033"</f>
        <v>628669010033</v>
      </c>
      <c r="FAW378" t="str">
        <f>"0419671"</f>
        <v>0419671</v>
      </c>
      <c r="FAX378" t="s">
        <v>199</v>
      </c>
      <c r="FAY378" t="s">
        <v>25</v>
      </c>
      <c r="FAZ378">
        <v>24</v>
      </c>
      <c r="FBA378">
        <v>0.05</v>
      </c>
      <c r="FBB378">
        <v>1</v>
      </c>
      <c r="FBC378" t="s">
        <v>531</v>
      </c>
      <c r="FBD378" t="str">
        <f>"628669010033"</f>
        <v>628669010033</v>
      </c>
      <c r="FBE378" t="str">
        <f>"0419671"</f>
        <v>0419671</v>
      </c>
      <c r="FBF378" t="s">
        <v>199</v>
      </c>
      <c r="FBG378" t="s">
        <v>25</v>
      </c>
      <c r="FBH378">
        <v>24</v>
      </c>
      <c r="FBI378">
        <v>0.05</v>
      </c>
      <c r="FBJ378">
        <v>1</v>
      </c>
      <c r="FBK378" t="s">
        <v>531</v>
      </c>
      <c r="FBL378" t="str">
        <f>"628669010033"</f>
        <v>628669010033</v>
      </c>
      <c r="FBM378" t="str">
        <f>"0419671"</f>
        <v>0419671</v>
      </c>
      <c r="FBN378" t="s">
        <v>199</v>
      </c>
      <c r="FBO378" t="s">
        <v>25</v>
      </c>
      <c r="FBP378">
        <v>24</v>
      </c>
      <c r="FBQ378">
        <v>0.05</v>
      </c>
      <c r="FBR378">
        <v>1</v>
      </c>
      <c r="FBS378" t="s">
        <v>531</v>
      </c>
      <c r="FBT378" t="str">
        <f>"628669010033"</f>
        <v>628669010033</v>
      </c>
      <c r="FBU378" t="str">
        <f>"0419671"</f>
        <v>0419671</v>
      </c>
      <c r="FBV378" t="s">
        <v>199</v>
      </c>
      <c r="FBW378" t="s">
        <v>25</v>
      </c>
      <c r="FBX378">
        <v>24</v>
      </c>
      <c r="FBY378">
        <v>0.05</v>
      </c>
      <c r="FBZ378">
        <v>1</v>
      </c>
      <c r="FCA378" t="s">
        <v>531</v>
      </c>
      <c r="FCB378" t="str">
        <f>"628669010033"</f>
        <v>628669010033</v>
      </c>
      <c r="FCC378" t="str">
        <f>"0419671"</f>
        <v>0419671</v>
      </c>
      <c r="FCD378" t="s">
        <v>199</v>
      </c>
      <c r="FCE378" t="s">
        <v>25</v>
      </c>
      <c r="FCF378">
        <v>24</v>
      </c>
      <c r="FCG378">
        <v>0.05</v>
      </c>
      <c r="FCH378">
        <v>1</v>
      </c>
      <c r="FCI378" t="s">
        <v>531</v>
      </c>
      <c r="FCJ378" t="str">
        <f>"628669010033"</f>
        <v>628669010033</v>
      </c>
      <c r="FCK378" t="str">
        <f>"0419671"</f>
        <v>0419671</v>
      </c>
      <c r="FCL378" t="s">
        <v>199</v>
      </c>
      <c r="FCM378" t="s">
        <v>25</v>
      </c>
      <c r="FCN378">
        <v>24</v>
      </c>
      <c r="FCO378">
        <v>0.05</v>
      </c>
      <c r="FCP378">
        <v>1</v>
      </c>
      <c r="FCQ378" t="s">
        <v>531</v>
      </c>
      <c r="FCR378" t="str">
        <f>"628669010033"</f>
        <v>628669010033</v>
      </c>
      <c r="FCS378" t="str">
        <f>"0419671"</f>
        <v>0419671</v>
      </c>
      <c r="FCT378" t="s">
        <v>199</v>
      </c>
      <c r="FCU378" t="s">
        <v>25</v>
      </c>
      <c r="FCV378">
        <v>24</v>
      </c>
      <c r="FCW378">
        <v>0.05</v>
      </c>
      <c r="FCX378">
        <v>1</v>
      </c>
      <c r="FCY378" t="s">
        <v>531</v>
      </c>
      <c r="FCZ378" t="str">
        <f>"628669010033"</f>
        <v>628669010033</v>
      </c>
      <c r="FDA378" t="str">
        <f>"0419671"</f>
        <v>0419671</v>
      </c>
      <c r="FDB378" t="s">
        <v>199</v>
      </c>
      <c r="FDC378" t="s">
        <v>25</v>
      </c>
      <c r="FDD378">
        <v>24</v>
      </c>
      <c r="FDE378">
        <v>0.05</v>
      </c>
      <c r="FDF378">
        <v>1</v>
      </c>
      <c r="FDG378" t="s">
        <v>531</v>
      </c>
      <c r="FDH378" t="str">
        <f>"628669010033"</f>
        <v>628669010033</v>
      </c>
      <c r="FDI378" t="str">
        <f>"0419671"</f>
        <v>0419671</v>
      </c>
      <c r="FDJ378" t="s">
        <v>199</v>
      </c>
      <c r="FDK378" t="s">
        <v>25</v>
      </c>
      <c r="FDL378">
        <v>24</v>
      </c>
      <c r="FDM378">
        <v>0.05</v>
      </c>
      <c r="FDN378">
        <v>1</v>
      </c>
      <c r="FDO378" t="s">
        <v>531</v>
      </c>
      <c r="FDP378" t="str">
        <f>"628669010033"</f>
        <v>628669010033</v>
      </c>
      <c r="FDQ378" t="str">
        <f>"0419671"</f>
        <v>0419671</v>
      </c>
      <c r="FDR378" t="s">
        <v>199</v>
      </c>
      <c r="FDS378" t="s">
        <v>25</v>
      </c>
      <c r="FDT378">
        <v>24</v>
      </c>
      <c r="FDU378">
        <v>0.05</v>
      </c>
      <c r="FDV378">
        <v>1</v>
      </c>
      <c r="FDW378" t="s">
        <v>531</v>
      </c>
      <c r="FDX378" t="str">
        <f>"628669010033"</f>
        <v>628669010033</v>
      </c>
      <c r="FDY378" t="str">
        <f>"0419671"</f>
        <v>0419671</v>
      </c>
      <c r="FDZ378" t="s">
        <v>199</v>
      </c>
      <c r="FEA378" t="s">
        <v>25</v>
      </c>
      <c r="FEB378">
        <v>24</v>
      </c>
      <c r="FEC378">
        <v>0.05</v>
      </c>
      <c r="FED378">
        <v>1</v>
      </c>
      <c r="FEE378" t="s">
        <v>531</v>
      </c>
      <c r="FEF378" t="str">
        <f>"628669010033"</f>
        <v>628669010033</v>
      </c>
      <c r="FEG378" t="str">
        <f>"0419671"</f>
        <v>0419671</v>
      </c>
      <c r="FEH378" t="s">
        <v>199</v>
      </c>
      <c r="FEI378" t="s">
        <v>25</v>
      </c>
      <c r="FEJ378">
        <v>24</v>
      </c>
      <c r="FEK378">
        <v>0.05</v>
      </c>
      <c r="FEL378">
        <v>1</v>
      </c>
      <c r="FEM378" t="s">
        <v>531</v>
      </c>
      <c r="FEN378" t="str">
        <f>"628669010033"</f>
        <v>628669010033</v>
      </c>
      <c r="FEO378" t="str">
        <f>"0419671"</f>
        <v>0419671</v>
      </c>
      <c r="FEP378" t="s">
        <v>199</v>
      </c>
      <c r="FEQ378" t="s">
        <v>25</v>
      </c>
      <c r="FER378">
        <v>24</v>
      </c>
      <c r="FES378">
        <v>0.05</v>
      </c>
      <c r="FET378">
        <v>1</v>
      </c>
      <c r="FEU378" t="s">
        <v>531</v>
      </c>
      <c r="FEV378" t="str">
        <f>"628669010033"</f>
        <v>628669010033</v>
      </c>
      <c r="FEW378" t="str">
        <f>"0419671"</f>
        <v>0419671</v>
      </c>
      <c r="FEX378" t="s">
        <v>199</v>
      </c>
      <c r="FEY378" t="s">
        <v>25</v>
      </c>
      <c r="FEZ378">
        <v>24</v>
      </c>
      <c r="FFA378">
        <v>0.05</v>
      </c>
      <c r="FFB378">
        <v>1</v>
      </c>
      <c r="FFC378" t="s">
        <v>531</v>
      </c>
      <c r="FFD378" t="str">
        <f>"628669010033"</f>
        <v>628669010033</v>
      </c>
      <c r="FFE378" t="str">
        <f>"0419671"</f>
        <v>0419671</v>
      </c>
      <c r="FFF378" t="s">
        <v>199</v>
      </c>
      <c r="FFG378" t="s">
        <v>25</v>
      </c>
      <c r="FFH378">
        <v>24</v>
      </c>
      <c r="FFI378">
        <v>0.05</v>
      </c>
      <c r="FFJ378">
        <v>1</v>
      </c>
      <c r="FFK378" t="s">
        <v>531</v>
      </c>
      <c r="FFL378" t="str">
        <f>"628669010033"</f>
        <v>628669010033</v>
      </c>
      <c r="FFM378" t="str">
        <f>"0419671"</f>
        <v>0419671</v>
      </c>
      <c r="FFN378" t="s">
        <v>199</v>
      </c>
      <c r="FFO378" t="s">
        <v>25</v>
      </c>
      <c r="FFP378">
        <v>24</v>
      </c>
      <c r="FFQ378">
        <v>0.05</v>
      </c>
      <c r="FFR378">
        <v>1</v>
      </c>
      <c r="FFS378" t="s">
        <v>531</v>
      </c>
      <c r="FFT378" t="str">
        <f>"628669010033"</f>
        <v>628669010033</v>
      </c>
      <c r="FFU378" t="str">
        <f>"0419671"</f>
        <v>0419671</v>
      </c>
      <c r="FFV378" t="s">
        <v>199</v>
      </c>
      <c r="FFW378" t="s">
        <v>25</v>
      </c>
      <c r="FFX378">
        <v>24</v>
      </c>
      <c r="FFY378">
        <v>0.05</v>
      </c>
      <c r="FFZ378">
        <v>1</v>
      </c>
      <c r="FGA378" t="s">
        <v>531</v>
      </c>
      <c r="FGB378" t="str">
        <f>"628669010033"</f>
        <v>628669010033</v>
      </c>
      <c r="FGC378" t="str">
        <f>"0419671"</f>
        <v>0419671</v>
      </c>
      <c r="FGD378" t="s">
        <v>199</v>
      </c>
      <c r="FGE378" t="s">
        <v>25</v>
      </c>
      <c r="FGF378">
        <v>24</v>
      </c>
      <c r="FGG378">
        <v>0.05</v>
      </c>
      <c r="FGH378">
        <v>1</v>
      </c>
      <c r="FGI378" t="s">
        <v>531</v>
      </c>
      <c r="FGJ378" t="str">
        <f>"628669010033"</f>
        <v>628669010033</v>
      </c>
      <c r="FGK378" t="str">
        <f>"0419671"</f>
        <v>0419671</v>
      </c>
      <c r="FGL378" t="s">
        <v>199</v>
      </c>
      <c r="FGM378" t="s">
        <v>25</v>
      </c>
      <c r="FGN378">
        <v>24</v>
      </c>
      <c r="FGO378">
        <v>0.05</v>
      </c>
      <c r="FGP378">
        <v>1</v>
      </c>
      <c r="FGQ378" t="s">
        <v>531</v>
      </c>
      <c r="FGR378" t="str">
        <f>"628669010033"</f>
        <v>628669010033</v>
      </c>
      <c r="FGS378" t="str">
        <f>"0419671"</f>
        <v>0419671</v>
      </c>
      <c r="FGT378" t="s">
        <v>199</v>
      </c>
      <c r="FGU378" t="s">
        <v>25</v>
      </c>
      <c r="FGV378">
        <v>24</v>
      </c>
      <c r="FGW378">
        <v>0.05</v>
      </c>
      <c r="FGX378">
        <v>1</v>
      </c>
      <c r="FGY378" t="s">
        <v>531</v>
      </c>
      <c r="FGZ378" t="str">
        <f>"628669010033"</f>
        <v>628669010033</v>
      </c>
      <c r="FHA378" t="str">
        <f>"0419671"</f>
        <v>0419671</v>
      </c>
      <c r="FHB378" t="s">
        <v>199</v>
      </c>
      <c r="FHC378" t="s">
        <v>25</v>
      </c>
      <c r="FHD378">
        <v>24</v>
      </c>
      <c r="FHE378">
        <v>0.05</v>
      </c>
      <c r="FHF378">
        <v>1</v>
      </c>
      <c r="FHG378" t="s">
        <v>531</v>
      </c>
      <c r="FHH378" t="str">
        <f>"628669010033"</f>
        <v>628669010033</v>
      </c>
      <c r="FHI378" t="str">
        <f>"0419671"</f>
        <v>0419671</v>
      </c>
      <c r="FHJ378" t="s">
        <v>199</v>
      </c>
      <c r="FHK378" t="s">
        <v>25</v>
      </c>
      <c r="FHL378">
        <v>24</v>
      </c>
      <c r="FHM378">
        <v>0.05</v>
      </c>
      <c r="FHN378">
        <v>1</v>
      </c>
      <c r="FHO378" t="s">
        <v>531</v>
      </c>
      <c r="FHP378" t="str">
        <f>"628669010033"</f>
        <v>628669010033</v>
      </c>
      <c r="FHQ378" t="str">
        <f>"0419671"</f>
        <v>0419671</v>
      </c>
      <c r="FHR378" t="s">
        <v>199</v>
      </c>
      <c r="FHS378" t="s">
        <v>25</v>
      </c>
      <c r="FHT378">
        <v>24</v>
      </c>
      <c r="FHU378">
        <v>0.05</v>
      </c>
      <c r="FHV378">
        <v>1</v>
      </c>
      <c r="FHW378" t="s">
        <v>531</v>
      </c>
      <c r="FHX378" t="str">
        <f>"628669010033"</f>
        <v>628669010033</v>
      </c>
      <c r="FHY378" t="str">
        <f>"0419671"</f>
        <v>0419671</v>
      </c>
      <c r="FHZ378" t="s">
        <v>199</v>
      </c>
      <c r="FIA378" t="s">
        <v>25</v>
      </c>
      <c r="FIB378">
        <v>24</v>
      </c>
      <c r="FIC378">
        <v>0.05</v>
      </c>
      <c r="FID378">
        <v>1</v>
      </c>
      <c r="FIE378" t="s">
        <v>531</v>
      </c>
      <c r="FIF378" t="str">
        <f>"628669010033"</f>
        <v>628669010033</v>
      </c>
      <c r="FIG378" t="str">
        <f>"0419671"</f>
        <v>0419671</v>
      </c>
      <c r="FIH378" t="s">
        <v>199</v>
      </c>
      <c r="FII378" t="s">
        <v>25</v>
      </c>
      <c r="FIJ378">
        <v>24</v>
      </c>
      <c r="FIK378">
        <v>0.05</v>
      </c>
      <c r="FIL378">
        <v>1</v>
      </c>
      <c r="FIM378" t="s">
        <v>531</v>
      </c>
      <c r="FIN378" t="str">
        <f>"628669010033"</f>
        <v>628669010033</v>
      </c>
      <c r="FIO378" t="str">
        <f>"0419671"</f>
        <v>0419671</v>
      </c>
      <c r="FIP378" t="s">
        <v>199</v>
      </c>
      <c r="FIQ378" t="s">
        <v>25</v>
      </c>
      <c r="FIR378">
        <v>24</v>
      </c>
      <c r="FIS378">
        <v>0.05</v>
      </c>
      <c r="FIT378">
        <v>1</v>
      </c>
      <c r="FIU378" t="s">
        <v>531</v>
      </c>
      <c r="FIV378" t="str">
        <f>"628669010033"</f>
        <v>628669010033</v>
      </c>
      <c r="FIW378" t="str">
        <f>"0419671"</f>
        <v>0419671</v>
      </c>
      <c r="FIX378" t="s">
        <v>199</v>
      </c>
      <c r="FIY378" t="s">
        <v>25</v>
      </c>
      <c r="FIZ378">
        <v>24</v>
      </c>
      <c r="FJA378">
        <v>0.05</v>
      </c>
      <c r="FJB378">
        <v>1</v>
      </c>
      <c r="FJC378" t="s">
        <v>531</v>
      </c>
      <c r="FJD378" t="str">
        <f>"628669010033"</f>
        <v>628669010033</v>
      </c>
      <c r="FJE378" t="str">
        <f>"0419671"</f>
        <v>0419671</v>
      </c>
      <c r="FJF378" t="s">
        <v>199</v>
      </c>
      <c r="FJG378" t="s">
        <v>25</v>
      </c>
      <c r="FJH378">
        <v>24</v>
      </c>
      <c r="FJI378">
        <v>0.05</v>
      </c>
      <c r="FJJ378">
        <v>1</v>
      </c>
      <c r="FJK378" t="s">
        <v>531</v>
      </c>
      <c r="FJL378" t="str">
        <f>"628669010033"</f>
        <v>628669010033</v>
      </c>
      <c r="FJM378" t="str">
        <f>"0419671"</f>
        <v>0419671</v>
      </c>
      <c r="FJN378" t="s">
        <v>199</v>
      </c>
      <c r="FJO378" t="s">
        <v>25</v>
      </c>
      <c r="FJP378">
        <v>24</v>
      </c>
      <c r="FJQ378">
        <v>0.05</v>
      </c>
      <c r="FJR378">
        <v>1</v>
      </c>
      <c r="FJS378" t="s">
        <v>531</v>
      </c>
      <c r="FJT378" t="str">
        <f>"628669010033"</f>
        <v>628669010033</v>
      </c>
      <c r="FJU378" t="str">
        <f>"0419671"</f>
        <v>0419671</v>
      </c>
      <c r="FJV378" t="s">
        <v>199</v>
      </c>
      <c r="FJW378" t="s">
        <v>25</v>
      </c>
      <c r="FJX378">
        <v>24</v>
      </c>
      <c r="FJY378">
        <v>0.05</v>
      </c>
      <c r="FJZ378">
        <v>1</v>
      </c>
      <c r="FKA378" t="s">
        <v>531</v>
      </c>
      <c r="FKB378" t="str">
        <f>"628669010033"</f>
        <v>628669010033</v>
      </c>
      <c r="FKC378" t="str">
        <f>"0419671"</f>
        <v>0419671</v>
      </c>
      <c r="FKD378" t="s">
        <v>199</v>
      </c>
      <c r="FKE378" t="s">
        <v>25</v>
      </c>
      <c r="FKF378">
        <v>24</v>
      </c>
      <c r="FKG378">
        <v>0.05</v>
      </c>
      <c r="FKH378">
        <v>1</v>
      </c>
      <c r="FKI378" t="s">
        <v>531</v>
      </c>
      <c r="FKJ378" t="str">
        <f>"628669010033"</f>
        <v>628669010033</v>
      </c>
      <c r="FKK378" t="str">
        <f>"0419671"</f>
        <v>0419671</v>
      </c>
      <c r="FKL378" t="s">
        <v>199</v>
      </c>
      <c r="FKM378" t="s">
        <v>25</v>
      </c>
      <c r="FKN378">
        <v>24</v>
      </c>
      <c r="FKO378">
        <v>0.05</v>
      </c>
      <c r="FKP378">
        <v>1</v>
      </c>
      <c r="FKQ378" t="s">
        <v>531</v>
      </c>
      <c r="FKR378" t="str">
        <f>"628669010033"</f>
        <v>628669010033</v>
      </c>
      <c r="FKS378" t="str">
        <f>"0419671"</f>
        <v>0419671</v>
      </c>
      <c r="FKT378" t="s">
        <v>199</v>
      </c>
      <c r="FKU378" t="s">
        <v>25</v>
      </c>
      <c r="FKV378">
        <v>24</v>
      </c>
      <c r="FKW378">
        <v>0.05</v>
      </c>
      <c r="FKX378">
        <v>1</v>
      </c>
      <c r="FKY378" t="s">
        <v>531</v>
      </c>
      <c r="FKZ378" t="str">
        <f>"628669010033"</f>
        <v>628669010033</v>
      </c>
      <c r="FLA378" t="str">
        <f>"0419671"</f>
        <v>0419671</v>
      </c>
      <c r="FLB378" t="s">
        <v>199</v>
      </c>
      <c r="FLC378" t="s">
        <v>25</v>
      </c>
      <c r="FLD378">
        <v>24</v>
      </c>
      <c r="FLE378">
        <v>0.05</v>
      </c>
      <c r="FLF378">
        <v>1</v>
      </c>
      <c r="FLG378" t="s">
        <v>531</v>
      </c>
      <c r="FLH378" t="str">
        <f>"628669010033"</f>
        <v>628669010033</v>
      </c>
      <c r="FLI378" t="str">
        <f>"0419671"</f>
        <v>0419671</v>
      </c>
      <c r="FLJ378" t="s">
        <v>199</v>
      </c>
      <c r="FLK378" t="s">
        <v>25</v>
      </c>
      <c r="FLL378">
        <v>24</v>
      </c>
      <c r="FLM378">
        <v>0.05</v>
      </c>
      <c r="FLN378">
        <v>1</v>
      </c>
      <c r="FLO378" t="s">
        <v>531</v>
      </c>
      <c r="FLP378" t="str">
        <f>"628669010033"</f>
        <v>628669010033</v>
      </c>
      <c r="FLQ378" t="str">
        <f>"0419671"</f>
        <v>0419671</v>
      </c>
      <c r="FLR378" t="s">
        <v>199</v>
      </c>
      <c r="FLS378" t="s">
        <v>25</v>
      </c>
      <c r="FLT378">
        <v>24</v>
      </c>
      <c r="FLU378">
        <v>0.05</v>
      </c>
      <c r="FLV378">
        <v>1</v>
      </c>
      <c r="FLW378" t="s">
        <v>531</v>
      </c>
      <c r="FLX378" t="str">
        <f>"628669010033"</f>
        <v>628669010033</v>
      </c>
      <c r="FLY378" t="str">
        <f>"0419671"</f>
        <v>0419671</v>
      </c>
      <c r="FLZ378" t="s">
        <v>199</v>
      </c>
      <c r="FMA378" t="s">
        <v>25</v>
      </c>
      <c r="FMB378">
        <v>24</v>
      </c>
      <c r="FMC378">
        <v>0.05</v>
      </c>
      <c r="FMD378">
        <v>1</v>
      </c>
      <c r="FME378" t="s">
        <v>531</v>
      </c>
      <c r="FMF378" t="str">
        <f>"628669010033"</f>
        <v>628669010033</v>
      </c>
      <c r="FMG378" t="str">
        <f>"0419671"</f>
        <v>0419671</v>
      </c>
      <c r="FMH378" t="s">
        <v>199</v>
      </c>
      <c r="FMI378" t="s">
        <v>25</v>
      </c>
      <c r="FMJ378">
        <v>24</v>
      </c>
      <c r="FMK378">
        <v>0.05</v>
      </c>
      <c r="FML378">
        <v>1</v>
      </c>
      <c r="FMM378" t="s">
        <v>531</v>
      </c>
      <c r="FMN378" t="str">
        <f>"628669010033"</f>
        <v>628669010033</v>
      </c>
      <c r="FMO378" t="str">
        <f>"0419671"</f>
        <v>0419671</v>
      </c>
      <c r="FMP378" t="s">
        <v>199</v>
      </c>
      <c r="FMQ378" t="s">
        <v>25</v>
      </c>
      <c r="FMR378">
        <v>24</v>
      </c>
      <c r="FMS378">
        <v>0.05</v>
      </c>
      <c r="FMT378">
        <v>1</v>
      </c>
      <c r="FMU378" t="s">
        <v>531</v>
      </c>
      <c r="FMV378" t="str">
        <f>"628669010033"</f>
        <v>628669010033</v>
      </c>
      <c r="FMW378" t="str">
        <f>"0419671"</f>
        <v>0419671</v>
      </c>
      <c r="FMX378" t="s">
        <v>199</v>
      </c>
      <c r="FMY378" t="s">
        <v>25</v>
      </c>
      <c r="FMZ378">
        <v>24</v>
      </c>
      <c r="FNA378">
        <v>0.05</v>
      </c>
      <c r="FNB378">
        <v>1</v>
      </c>
      <c r="FNC378" t="s">
        <v>531</v>
      </c>
      <c r="FND378" t="str">
        <f>"628669010033"</f>
        <v>628669010033</v>
      </c>
      <c r="FNE378" t="str">
        <f>"0419671"</f>
        <v>0419671</v>
      </c>
      <c r="FNF378" t="s">
        <v>199</v>
      </c>
      <c r="FNG378" t="s">
        <v>25</v>
      </c>
      <c r="FNH378">
        <v>24</v>
      </c>
      <c r="FNI378">
        <v>0.05</v>
      </c>
      <c r="FNJ378">
        <v>1</v>
      </c>
      <c r="FNK378" t="s">
        <v>531</v>
      </c>
      <c r="FNL378" t="str">
        <f>"628669010033"</f>
        <v>628669010033</v>
      </c>
      <c r="FNM378" t="str">
        <f>"0419671"</f>
        <v>0419671</v>
      </c>
      <c r="FNN378" t="s">
        <v>199</v>
      </c>
      <c r="FNO378" t="s">
        <v>25</v>
      </c>
      <c r="FNP378">
        <v>24</v>
      </c>
      <c r="FNQ378">
        <v>0.05</v>
      </c>
      <c r="FNR378">
        <v>1</v>
      </c>
      <c r="FNS378" t="s">
        <v>531</v>
      </c>
      <c r="FNT378" t="str">
        <f>"628669010033"</f>
        <v>628669010033</v>
      </c>
      <c r="FNU378" t="str">
        <f>"0419671"</f>
        <v>0419671</v>
      </c>
      <c r="FNV378" t="s">
        <v>199</v>
      </c>
      <c r="FNW378" t="s">
        <v>25</v>
      </c>
      <c r="FNX378">
        <v>24</v>
      </c>
      <c r="FNY378">
        <v>0.05</v>
      </c>
      <c r="FNZ378">
        <v>1</v>
      </c>
      <c r="FOA378" t="s">
        <v>531</v>
      </c>
      <c r="FOB378" t="str">
        <f>"628669010033"</f>
        <v>628669010033</v>
      </c>
      <c r="FOC378" t="str">
        <f>"0419671"</f>
        <v>0419671</v>
      </c>
      <c r="FOD378" t="s">
        <v>199</v>
      </c>
      <c r="FOE378" t="s">
        <v>25</v>
      </c>
      <c r="FOF378">
        <v>24</v>
      </c>
      <c r="FOG378">
        <v>0.05</v>
      </c>
      <c r="FOH378">
        <v>1</v>
      </c>
      <c r="FOI378" t="s">
        <v>531</v>
      </c>
      <c r="FOJ378" t="str">
        <f>"628669010033"</f>
        <v>628669010033</v>
      </c>
      <c r="FOK378" t="str">
        <f>"0419671"</f>
        <v>0419671</v>
      </c>
      <c r="FOL378" t="s">
        <v>199</v>
      </c>
      <c r="FOM378" t="s">
        <v>25</v>
      </c>
      <c r="FON378">
        <v>24</v>
      </c>
      <c r="FOO378">
        <v>0.05</v>
      </c>
      <c r="FOP378">
        <v>1</v>
      </c>
      <c r="FOQ378" t="s">
        <v>531</v>
      </c>
      <c r="FOR378" t="str">
        <f>"628669010033"</f>
        <v>628669010033</v>
      </c>
      <c r="FOS378" t="str">
        <f>"0419671"</f>
        <v>0419671</v>
      </c>
      <c r="FOT378" t="s">
        <v>199</v>
      </c>
      <c r="FOU378" t="s">
        <v>25</v>
      </c>
      <c r="FOV378">
        <v>24</v>
      </c>
      <c r="FOW378">
        <v>0.05</v>
      </c>
      <c r="FOX378">
        <v>1</v>
      </c>
      <c r="FOY378" t="s">
        <v>531</v>
      </c>
      <c r="FOZ378" t="str">
        <f>"628669010033"</f>
        <v>628669010033</v>
      </c>
      <c r="FPA378" t="str">
        <f>"0419671"</f>
        <v>0419671</v>
      </c>
      <c r="FPB378" t="s">
        <v>199</v>
      </c>
      <c r="FPC378" t="s">
        <v>25</v>
      </c>
      <c r="FPD378">
        <v>24</v>
      </c>
      <c r="FPE378">
        <v>0.05</v>
      </c>
      <c r="FPF378">
        <v>1</v>
      </c>
      <c r="FPG378" t="s">
        <v>531</v>
      </c>
      <c r="FPH378" t="str">
        <f>"628669010033"</f>
        <v>628669010033</v>
      </c>
      <c r="FPI378" t="str">
        <f>"0419671"</f>
        <v>0419671</v>
      </c>
      <c r="FPJ378" t="s">
        <v>199</v>
      </c>
      <c r="FPK378" t="s">
        <v>25</v>
      </c>
      <c r="FPL378">
        <v>24</v>
      </c>
      <c r="FPM378">
        <v>0.05</v>
      </c>
      <c r="FPN378">
        <v>1</v>
      </c>
      <c r="FPO378" t="s">
        <v>531</v>
      </c>
      <c r="FPP378" t="str">
        <f>"628669010033"</f>
        <v>628669010033</v>
      </c>
      <c r="FPQ378" t="str">
        <f>"0419671"</f>
        <v>0419671</v>
      </c>
      <c r="FPR378" t="s">
        <v>199</v>
      </c>
      <c r="FPS378" t="s">
        <v>25</v>
      </c>
      <c r="FPT378">
        <v>24</v>
      </c>
      <c r="FPU378">
        <v>0.05</v>
      </c>
      <c r="FPV378">
        <v>1</v>
      </c>
      <c r="FPW378" t="s">
        <v>531</v>
      </c>
      <c r="FPX378" t="str">
        <f>"628669010033"</f>
        <v>628669010033</v>
      </c>
      <c r="FPY378" t="str">
        <f>"0419671"</f>
        <v>0419671</v>
      </c>
      <c r="FPZ378" t="s">
        <v>199</v>
      </c>
      <c r="FQA378" t="s">
        <v>25</v>
      </c>
      <c r="FQB378">
        <v>24</v>
      </c>
      <c r="FQC378">
        <v>0.05</v>
      </c>
      <c r="FQD378">
        <v>1</v>
      </c>
      <c r="FQE378" t="s">
        <v>531</v>
      </c>
      <c r="FQF378" t="str">
        <f>"628669010033"</f>
        <v>628669010033</v>
      </c>
      <c r="FQG378" t="str">
        <f>"0419671"</f>
        <v>0419671</v>
      </c>
      <c r="FQH378" t="s">
        <v>199</v>
      </c>
      <c r="FQI378" t="s">
        <v>25</v>
      </c>
      <c r="FQJ378">
        <v>24</v>
      </c>
      <c r="FQK378">
        <v>0.05</v>
      </c>
      <c r="FQL378">
        <v>1</v>
      </c>
      <c r="FQM378" t="s">
        <v>531</v>
      </c>
      <c r="FQN378" t="str">
        <f>"628669010033"</f>
        <v>628669010033</v>
      </c>
      <c r="FQO378" t="str">
        <f>"0419671"</f>
        <v>0419671</v>
      </c>
      <c r="FQP378" t="s">
        <v>199</v>
      </c>
      <c r="FQQ378" t="s">
        <v>25</v>
      </c>
      <c r="FQR378">
        <v>24</v>
      </c>
      <c r="FQS378">
        <v>0.05</v>
      </c>
      <c r="FQT378">
        <v>1</v>
      </c>
      <c r="FQU378" t="s">
        <v>531</v>
      </c>
      <c r="FQV378" t="str">
        <f>"628669010033"</f>
        <v>628669010033</v>
      </c>
      <c r="FQW378" t="str">
        <f>"0419671"</f>
        <v>0419671</v>
      </c>
      <c r="FQX378" t="s">
        <v>199</v>
      </c>
      <c r="FQY378" t="s">
        <v>25</v>
      </c>
      <c r="FQZ378">
        <v>24</v>
      </c>
      <c r="FRA378">
        <v>0.05</v>
      </c>
      <c r="FRB378">
        <v>1</v>
      </c>
      <c r="FRC378" t="s">
        <v>531</v>
      </c>
      <c r="FRD378" t="str">
        <f>"628669010033"</f>
        <v>628669010033</v>
      </c>
      <c r="FRE378" t="str">
        <f>"0419671"</f>
        <v>0419671</v>
      </c>
      <c r="FRF378" t="s">
        <v>199</v>
      </c>
      <c r="FRG378" t="s">
        <v>25</v>
      </c>
      <c r="FRH378">
        <v>24</v>
      </c>
      <c r="FRI378">
        <v>0.05</v>
      </c>
      <c r="FRJ378">
        <v>1</v>
      </c>
      <c r="FRK378" t="s">
        <v>531</v>
      </c>
      <c r="FRL378" t="str">
        <f>"628669010033"</f>
        <v>628669010033</v>
      </c>
      <c r="FRM378" t="str">
        <f>"0419671"</f>
        <v>0419671</v>
      </c>
      <c r="FRN378" t="s">
        <v>199</v>
      </c>
      <c r="FRO378" t="s">
        <v>25</v>
      </c>
      <c r="FRP378">
        <v>24</v>
      </c>
      <c r="FRQ378">
        <v>0.05</v>
      </c>
      <c r="FRR378">
        <v>1</v>
      </c>
      <c r="FRS378" t="s">
        <v>531</v>
      </c>
      <c r="FRT378" t="str">
        <f>"628669010033"</f>
        <v>628669010033</v>
      </c>
      <c r="FRU378" t="str">
        <f>"0419671"</f>
        <v>0419671</v>
      </c>
      <c r="FRV378" t="s">
        <v>199</v>
      </c>
      <c r="FRW378" t="s">
        <v>25</v>
      </c>
      <c r="FRX378">
        <v>24</v>
      </c>
      <c r="FRY378">
        <v>0.05</v>
      </c>
      <c r="FRZ378">
        <v>1</v>
      </c>
      <c r="FSA378" t="s">
        <v>531</v>
      </c>
      <c r="FSB378" t="str">
        <f>"628669010033"</f>
        <v>628669010033</v>
      </c>
      <c r="FSC378" t="str">
        <f>"0419671"</f>
        <v>0419671</v>
      </c>
      <c r="FSD378" t="s">
        <v>199</v>
      </c>
      <c r="FSE378" t="s">
        <v>25</v>
      </c>
      <c r="FSF378">
        <v>24</v>
      </c>
      <c r="FSG378">
        <v>0.05</v>
      </c>
      <c r="FSH378">
        <v>1</v>
      </c>
      <c r="FSI378" t="s">
        <v>531</v>
      </c>
      <c r="FSJ378" t="str">
        <f>"628669010033"</f>
        <v>628669010033</v>
      </c>
      <c r="FSK378" t="str">
        <f>"0419671"</f>
        <v>0419671</v>
      </c>
      <c r="FSL378" t="s">
        <v>199</v>
      </c>
      <c r="FSM378" t="s">
        <v>25</v>
      </c>
      <c r="FSN378">
        <v>24</v>
      </c>
      <c r="FSO378">
        <v>0.05</v>
      </c>
      <c r="FSP378">
        <v>1</v>
      </c>
      <c r="FSQ378" t="s">
        <v>531</v>
      </c>
      <c r="FSR378" t="str">
        <f>"628669010033"</f>
        <v>628669010033</v>
      </c>
      <c r="FSS378" t="str">
        <f>"0419671"</f>
        <v>0419671</v>
      </c>
      <c r="FST378" t="s">
        <v>199</v>
      </c>
      <c r="FSU378" t="s">
        <v>25</v>
      </c>
      <c r="FSV378">
        <v>24</v>
      </c>
      <c r="FSW378">
        <v>0.05</v>
      </c>
      <c r="FSX378">
        <v>1</v>
      </c>
      <c r="FSY378" t="s">
        <v>531</v>
      </c>
      <c r="FSZ378" t="str">
        <f>"628669010033"</f>
        <v>628669010033</v>
      </c>
      <c r="FTA378" t="str">
        <f>"0419671"</f>
        <v>0419671</v>
      </c>
      <c r="FTB378" t="s">
        <v>199</v>
      </c>
      <c r="FTC378" t="s">
        <v>25</v>
      </c>
      <c r="FTD378">
        <v>24</v>
      </c>
      <c r="FTE378">
        <v>0.05</v>
      </c>
      <c r="FTF378">
        <v>1</v>
      </c>
      <c r="FTG378" t="s">
        <v>531</v>
      </c>
      <c r="FTH378" t="str">
        <f>"628669010033"</f>
        <v>628669010033</v>
      </c>
      <c r="FTI378" t="str">
        <f>"0419671"</f>
        <v>0419671</v>
      </c>
      <c r="FTJ378" t="s">
        <v>199</v>
      </c>
      <c r="FTK378" t="s">
        <v>25</v>
      </c>
      <c r="FTL378">
        <v>24</v>
      </c>
      <c r="FTM378">
        <v>0.05</v>
      </c>
      <c r="FTN378">
        <v>1</v>
      </c>
      <c r="FTO378" t="s">
        <v>531</v>
      </c>
      <c r="FTP378" t="str">
        <f>"628669010033"</f>
        <v>628669010033</v>
      </c>
      <c r="FTQ378" t="str">
        <f>"0419671"</f>
        <v>0419671</v>
      </c>
      <c r="FTR378" t="s">
        <v>199</v>
      </c>
      <c r="FTS378" t="s">
        <v>25</v>
      </c>
      <c r="FTT378">
        <v>24</v>
      </c>
      <c r="FTU378">
        <v>0.05</v>
      </c>
      <c r="FTV378">
        <v>1</v>
      </c>
      <c r="FTW378" t="s">
        <v>531</v>
      </c>
      <c r="FTX378" t="str">
        <f>"628669010033"</f>
        <v>628669010033</v>
      </c>
      <c r="FTY378" t="str">
        <f>"0419671"</f>
        <v>0419671</v>
      </c>
      <c r="FTZ378" t="s">
        <v>199</v>
      </c>
      <c r="FUA378" t="s">
        <v>25</v>
      </c>
      <c r="FUB378">
        <v>24</v>
      </c>
      <c r="FUC378">
        <v>0.05</v>
      </c>
      <c r="FUD378">
        <v>1</v>
      </c>
      <c r="FUE378" t="s">
        <v>531</v>
      </c>
      <c r="FUF378" t="str">
        <f>"628669010033"</f>
        <v>628669010033</v>
      </c>
      <c r="FUG378" t="str">
        <f>"0419671"</f>
        <v>0419671</v>
      </c>
      <c r="FUH378" t="s">
        <v>199</v>
      </c>
      <c r="FUI378" t="s">
        <v>25</v>
      </c>
      <c r="FUJ378">
        <v>24</v>
      </c>
      <c r="FUK378">
        <v>0.05</v>
      </c>
      <c r="FUL378">
        <v>1</v>
      </c>
      <c r="FUM378" t="s">
        <v>531</v>
      </c>
      <c r="FUN378" t="str">
        <f>"628669010033"</f>
        <v>628669010033</v>
      </c>
      <c r="FUO378" t="str">
        <f>"0419671"</f>
        <v>0419671</v>
      </c>
      <c r="FUP378" t="s">
        <v>199</v>
      </c>
      <c r="FUQ378" t="s">
        <v>25</v>
      </c>
      <c r="FUR378">
        <v>24</v>
      </c>
      <c r="FUS378">
        <v>0.05</v>
      </c>
      <c r="FUT378">
        <v>1</v>
      </c>
      <c r="FUU378" t="s">
        <v>531</v>
      </c>
      <c r="FUV378" t="str">
        <f>"628669010033"</f>
        <v>628669010033</v>
      </c>
      <c r="FUW378" t="str">
        <f>"0419671"</f>
        <v>0419671</v>
      </c>
      <c r="FUX378" t="s">
        <v>199</v>
      </c>
      <c r="FUY378" t="s">
        <v>25</v>
      </c>
      <c r="FUZ378">
        <v>24</v>
      </c>
      <c r="FVA378">
        <v>0.05</v>
      </c>
      <c r="FVB378">
        <v>1</v>
      </c>
      <c r="FVC378" t="s">
        <v>531</v>
      </c>
      <c r="FVD378" t="str">
        <f>"628669010033"</f>
        <v>628669010033</v>
      </c>
      <c r="FVE378" t="str">
        <f>"0419671"</f>
        <v>0419671</v>
      </c>
      <c r="FVF378" t="s">
        <v>199</v>
      </c>
      <c r="FVG378" t="s">
        <v>25</v>
      </c>
      <c r="FVH378">
        <v>24</v>
      </c>
      <c r="FVI378">
        <v>0.05</v>
      </c>
      <c r="FVJ378">
        <v>1</v>
      </c>
      <c r="FVK378" t="s">
        <v>531</v>
      </c>
      <c r="FVL378" t="str">
        <f>"628669010033"</f>
        <v>628669010033</v>
      </c>
      <c r="FVM378" t="str">
        <f>"0419671"</f>
        <v>0419671</v>
      </c>
      <c r="FVN378" t="s">
        <v>199</v>
      </c>
      <c r="FVO378" t="s">
        <v>25</v>
      </c>
      <c r="FVP378">
        <v>24</v>
      </c>
      <c r="FVQ378">
        <v>0.05</v>
      </c>
      <c r="FVR378">
        <v>1</v>
      </c>
      <c r="FVS378" t="s">
        <v>531</v>
      </c>
      <c r="FVT378" t="str">
        <f>"628669010033"</f>
        <v>628669010033</v>
      </c>
      <c r="FVU378" t="str">
        <f>"0419671"</f>
        <v>0419671</v>
      </c>
      <c r="FVV378" t="s">
        <v>199</v>
      </c>
      <c r="FVW378" t="s">
        <v>25</v>
      </c>
      <c r="FVX378">
        <v>24</v>
      </c>
      <c r="FVY378">
        <v>0.05</v>
      </c>
      <c r="FVZ378">
        <v>1</v>
      </c>
      <c r="FWA378" t="s">
        <v>531</v>
      </c>
      <c r="FWB378" t="str">
        <f>"628669010033"</f>
        <v>628669010033</v>
      </c>
      <c r="FWC378" t="str">
        <f>"0419671"</f>
        <v>0419671</v>
      </c>
      <c r="FWD378" t="s">
        <v>199</v>
      </c>
      <c r="FWE378" t="s">
        <v>25</v>
      </c>
      <c r="FWF378">
        <v>24</v>
      </c>
      <c r="FWG378">
        <v>0.05</v>
      </c>
      <c r="FWH378">
        <v>1</v>
      </c>
      <c r="FWI378" t="s">
        <v>531</v>
      </c>
      <c r="FWJ378" t="str">
        <f>"628669010033"</f>
        <v>628669010033</v>
      </c>
      <c r="FWK378" t="str">
        <f>"0419671"</f>
        <v>0419671</v>
      </c>
      <c r="FWL378" t="s">
        <v>199</v>
      </c>
      <c r="FWM378" t="s">
        <v>25</v>
      </c>
      <c r="FWN378">
        <v>24</v>
      </c>
      <c r="FWO378">
        <v>0.05</v>
      </c>
      <c r="FWP378">
        <v>1</v>
      </c>
      <c r="FWQ378" t="s">
        <v>531</v>
      </c>
      <c r="FWR378" t="str">
        <f>"628669010033"</f>
        <v>628669010033</v>
      </c>
      <c r="FWS378" t="str">
        <f>"0419671"</f>
        <v>0419671</v>
      </c>
      <c r="FWT378" t="s">
        <v>199</v>
      </c>
      <c r="FWU378" t="s">
        <v>25</v>
      </c>
      <c r="FWV378">
        <v>24</v>
      </c>
      <c r="FWW378">
        <v>0.05</v>
      </c>
      <c r="FWX378">
        <v>1</v>
      </c>
      <c r="FWY378" t="s">
        <v>531</v>
      </c>
      <c r="FWZ378" t="str">
        <f>"628669010033"</f>
        <v>628669010033</v>
      </c>
      <c r="FXA378" t="str">
        <f>"0419671"</f>
        <v>0419671</v>
      </c>
      <c r="FXB378" t="s">
        <v>199</v>
      </c>
      <c r="FXC378" t="s">
        <v>25</v>
      </c>
      <c r="FXD378">
        <v>24</v>
      </c>
      <c r="FXE378">
        <v>0.05</v>
      </c>
      <c r="FXF378">
        <v>1</v>
      </c>
      <c r="FXG378" t="s">
        <v>531</v>
      </c>
      <c r="FXH378" t="str">
        <f>"628669010033"</f>
        <v>628669010033</v>
      </c>
      <c r="FXI378" t="str">
        <f>"0419671"</f>
        <v>0419671</v>
      </c>
      <c r="FXJ378" t="s">
        <v>199</v>
      </c>
      <c r="FXK378" t="s">
        <v>25</v>
      </c>
      <c r="FXL378">
        <v>24</v>
      </c>
      <c r="FXM378">
        <v>0.05</v>
      </c>
      <c r="FXN378">
        <v>1</v>
      </c>
      <c r="FXO378" t="s">
        <v>531</v>
      </c>
      <c r="FXP378" t="str">
        <f>"628669010033"</f>
        <v>628669010033</v>
      </c>
      <c r="FXQ378" t="str">
        <f>"0419671"</f>
        <v>0419671</v>
      </c>
      <c r="FXR378" t="s">
        <v>199</v>
      </c>
      <c r="FXS378" t="s">
        <v>25</v>
      </c>
      <c r="FXT378">
        <v>24</v>
      </c>
      <c r="FXU378">
        <v>0.05</v>
      </c>
      <c r="FXV378">
        <v>1</v>
      </c>
      <c r="FXW378" t="s">
        <v>531</v>
      </c>
      <c r="FXX378" t="str">
        <f>"628669010033"</f>
        <v>628669010033</v>
      </c>
      <c r="FXY378" t="str">
        <f>"0419671"</f>
        <v>0419671</v>
      </c>
      <c r="FXZ378" t="s">
        <v>199</v>
      </c>
      <c r="FYA378" t="s">
        <v>25</v>
      </c>
      <c r="FYB378">
        <v>24</v>
      </c>
      <c r="FYC378">
        <v>0.05</v>
      </c>
      <c r="FYD378">
        <v>1</v>
      </c>
      <c r="FYE378" t="s">
        <v>531</v>
      </c>
      <c r="FYF378" t="str">
        <f>"628669010033"</f>
        <v>628669010033</v>
      </c>
      <c r="FYG378" t="str">
        <f>"0419671"</f>
        <v>0419671</v>
      </c>
      <c r="FYH378" t="s">
        <v>199</v>
      </c>
      <c r="FYI378" t="s">
        <v>25</v>
      </c>
      <c r="FYJ378">
        <v>24</v>
      </c>
      <c r="FYK378">
        <v>0.05</v>
      </c>
      <c r="FYL378">
        <v>1</v>
      </c>
      <c r="FYM378" t="s">
        <v>531</v>
      </c>
      <c r="FYN378" t="str">
        <f>"628669010033"</f>
        <v>628669010033</v>
      </c>
      <c r="FYO378" t="str">
        <f>"0419671"</f>
        <v>0419671</v>
      </c>
      <c r="FYP378" t="s">
        <v>199</v>
      </c>
      <c r="FYQ378" t="s">
        <v>25</v>
      </c>
      <c r="FYR378">
        <v>24</v>
      </c>
      <c r="FYS378">
        <v>0.05</v>
      </c>
      <c r="FYT378">
        <v>1</v>
      </c>
      <c r="FYU378" t="s">
        <v>531</v>
      </c>
      <c r="FYV378" t="str">
        <f>"628669010033"</f>
        <v>628669010033</v>
      </c>
      <c r="FYW378" t="str">
        <f>"0419671"</f>
        <v>0419671</v>
      </c>
      <c r="FYX378" t="s">
        <v>199</v>
      </c>
      <c r="FYY378" t="s">
        <v>25</v>
      </c>
      <c r="FYZ378">
        <v>24</v>
      </c>
      <c r="FZA378">
        <v>0.05</v>
      </c>
      <c r="FZB378">
        <v>1</v>
      </c>
      <c r="FZC378" t="s">
        <v>531</v>
      </c>
      <c r="FZD378" t="str">
        <f>"628669010033"</f>
        <v>628669010033</v>
      </c>
      <c r="FZE378" t="str">
        <f>"0419671"</f>
        <v>0419671</v>
      </c>
      <c r="FZF378" t="s">
        <v>199</v>
      </c>
      <c r="FZG378" t="s">
        <v>25</v>
      </c>
      <c r="FZH378">
        <v>24</v>
      </c>
      <c r="FZI378">
        <v>0.05</v>
      </c>
      <c r="FZJ378">
        <v>1</v>
      </c>
      <c r="FZK378" t="s">
        <v>531</v>
      </c>
      <c r="FZL378" t="str">
        <f>"628669010033"</f>
        <v>628669010033</v>
      </c>
      <c r="FZM378" t="str">
        <f>"0419671"</f>
        <v>0419671</v>
      </c>
      <c r="FZN378" t="s">
        <v>199</v>
      </c>
      <c r="FZO378" t="s">
        <v>25</v>
      </c>
      <c r="FZP378">
        <v>24</v>
      </c>
      <c r="FZQ378">
        <v>0.05</v>
      </c>
      <c r="FZR378">
        <v>1</v>
      </c>
      <c r="FZS378" t="s">
        <v>531</v>
      </c>
      <c r="FZT378" t="str">
        <f>"628669010033"</f>
        <v>628669010033</v>
      </c>
      <c r="FZU378" t="str">
        <f>"0419671"</f>
        <v>0419671</v>
      </c>
      <c r="FZV378" t="s">
        <v>199</v>
      </c>
      <c r="FZW378" t="s">
        <v>25</v>
      </c>
      <c r="FZX378">
        <v>24</v>
      </c>
      <c r="FZY378">
        <v>0.05</v>
      </c>
      <c r="FZZ378">
        <v>1</v>
      </c>
      <c r="GAA378" t="s">
        <v>531</v>
      </c>
      <c r="GAB378" t="str">
        <f>"628669010033"</f>
        <v>628669010033</v>
      </c>
      <c r="GAC378" t="str">
        <f>"0419671"</f>
        <v>0419671</v>
      </c>
      <c r="GAD378" t="s">
        <v>199</v>
      </c>
      <c r="GAE378" t="s">
        <v>25</v>
      </c>
      <c r="GAF378">
        <v>24</v>
      </c>
      <c r="GAG378">
        <v>0.05</v>
      </c>
      <c r="GAH378">
        <v>1</v>
      </c>
      <c r="GAI378" t="s">
        <v>531</v>
      </c>
      <c r="GAJ378" t="str">
        <f>"628669010033"</f>
        <v>628669010033</v>
      </c>
      <c r="GAK378" t="str">
        <f>"0419671"</f>
        <v>0419671</v>
      </c>
      <c r="GAL378" t="s">
        <v>199</v>
      </c>
      <c r="GAM378" t="s">
        <v>25</v>
      </c>
      <c r="GAN378">
        <v>24</v>
      </c>
      <c r="GAO378">
        <v>0.05</v>
      </c>
      <c r="GAP378">
        <v>1</v>
      </c>
      <c r="GAQ378" t="s">
        <v>531</v>
      </c>
      <c r="GAR378" t="str">
        <f>"628669010033"</f>
        <v>628669010033</v>
      </c>
      <c r="GAS378" t="str">
        <f>"0419671"</f>
        <v>0419671</v>
      </c>
      <c r="GAT378" t="s">
        <v>199</v>
      </c>
      <c r="GAU378" t="s">
        <v>25</v>
      </c>
      <c r="GAV378">
        <v>24</v>
      </c>
      <c r="GAW378">
        <v>0.05</v>
      </c>
      <c r="GAX378">
        <v>1</v>
      </c>
      <c r="GAY378" t="s">
        <v>531</v>
      </c>
      <c r="GAZ378" t="str">
        <f>"628669010033"</f>
        <v>628669010033</v>
      </c>
      <c r="GBA378" t="str">
        <f>"0419671"</f>
        <v>0419671</v>
      </c>
      <c r="GBB378" t="s">
        <v>199</v>
      </c>
      <c r="GBC378" t="s">
        <v>25</v>
      </c>
      <c r="GBD378">
        <v>24</v>
      </c>
      <c r="GBE378">
        <v>0.05</v>
      </c>
      <c r="GBF378">
        <v>1</v>
      </c>
      <c r="GBG378" t="s">
        <v>531</v>
      </c>
      <c r="GBH378" t="str">
        <f>"628669010033"</f>
        <v>628669010033</v>
      </c>
      <c r="GBI378" t="str">
        <f>"0419671"</f>
        <v>0419671</v>
      </c>
      <c r="GBJ378" t="s">
        <v>199</v>
      </c>
      <c r="GBK378" t="s">
        <v>25</v>
      </c>
      <c r="GBL378">
        <v>24</v>
      </c>
      <c r="GBM378">
        <v>0.05</v>
      </c>
      <c r="GBN378">
        <v>1</v>
      </c>
      <c r="GBO378" t="s">
        <v>531</v>
      </c>
      <c r="GBP378" t="str">
        <f>"628669010033"</f>
        <v>628669010033</v>
      </c>
      <c r="GBQ378" t="str">
        <f>"0419671"</f>
        <v>0419671</v>
      </c>
      <c r="GBR378" t="s">
        <v>199</v>
      </c>
      <c r="GBS378" t="s">
        <v>25</v>
      </c>
      <c r="GBT378">
        <v>24</v>
      </c>
      <c r="GBU378">
        <v>0.05</v>
      </c>
      <c r="GBV378">
        <v>1</v>
      </c>
      <c r="GBW378" t="s">
        <v>531</v>
      </c>
      <c r="GBX378" t="str">
        <f>"628669010033"</f>
        <v>628669010033</v>
      </c>
      <c r="GBY378" t="str">
        <f>"0419671"</f>
        <v>0419671</v>
      </c>
      <c r="GBZ378" t="s">
        <v>199</v>
      </c>
      <c r="GCA378" t="s">
        <v>25</v>
      </c>
      <c r="GCB378">
        <v>24</v>
      </c>
      <c r="GCC378">
        <v>0.05</v>
      </c>
      <c r="GCD378">
        <v>1</v>
      </c>
      <c r="GCE378" t="s">
        <v>531</v>
      </c>
      <c r="GCF378" t="str">
        <f>"628669010033"</f>
        <v>628669010033</v>
      </c>
      <c r="GCG378" t="str">
        <f>"0419671"</f>
        <v>0419671</v>
      </c>
      <c r="GCH378" t="s">
        <v>199</v>
      </c>
      <c r="GCI378" t="s">
        <v>25</v>
      </c>
      <c r="GCJ378">
        <v>24</v>
      </c>
      <c r="GCK378">
        <v>0.05</v>
      </c>
      <c r="GCL378">
        <v>1</v>
      </c>
      <c r="GCM378" t="s">
        <v>531</v>
      </c>
      <c r="GCN378" t="str">
        <f>"628669010033"</f>
        <v>628669010033</v>
      </c>
      <c r="GCO378" t="str">
        <f>"0419671"</f>
        <v>0419671</v>
      </c>
      <c r="GCP378" t="s">
        <v>199</v>
      </c>
      <c r="GCQ378" t="s">
        <v>25</v>
      </c>
      <c r="GCR378">
        <v>24</v>
      </c>
      <c r="GCS378">
        <v>0.05</v>
      </c>
      <c r="GCT378">
        <v>1</v>
      </c>
      <c r="GCU378" t="s">
        <v>531</v>
      </c>
      <c r="GCV378" t="str">
        <f>"628669010033"</f>
        <v>628669010033</v>
      </c>
      <c r="GCW378" t="str">
        <f>"0419671"</f>
        <v>0419671</v>
      </c>
      <c r="GCX378" t="s">
        <v>199</v>
      </c>
      <c r="GCY378" t="s">
        <v>25</v>
      </c>
      <c r="GCZ378">
        <v>24</v>
      </c>
      <c r="GDA378">
        <v>0.05</v>
      </c>
      <c r="GDB378">
        <v>1</v>
      </c>
      <c r="GDC378" t="s">
        <v>531</v>
      </c>
      <c r="GDD378" t="str">
        <f>"628669010033"</f>
        <v>628669010033</v>
      </c>
      <c r="GDE378" t="str">
        <f>"0419671"</f>
        <v>0419671</v>
      </c>
      <c r="GDF378" t="s">
        <v>199</v>
      </c>
      <c r="GDG378" t="s">
        <v>25</v>
      </c>
      <c r="GDH378">
        <v>24</v>
      </c>
      <c r="GDI378">
        <v>0.05</v>
      </c>
      <c r="GDJ378">
        <v>1</v>
      </c>
      <c r="GDK378" t="s">
        <v>531</v>
      </c>
      <c r="GDL378" t="str">
        <f>"628669010033"</f>
        <v>628669010033</v>
      </c>
      <c r="GDM378" t="str">
        <f>"0419671"</f>
        <v>0419671</v>
      </c>
      <c r="GDN378" t="s">
        <v>199</v>
      </c>
      <c r="GDO378" t="s">
        <v>25</v>
      </c>
      <c r="GDP378">
        <v>24</v>
      </c>
      <c r="GDQ378">
        <v>0.05</v>
      </c>
      <c r="GDR378">
        <v>1</v>
      </c>
      <c r="GDS378" t="s">
        <v>531</v>
      </c>
      <c r="GDT378" t="str">
        <f>"628669010033"</f>
        <v>628669010033</v>
      </c>
      <c r="GDU378" t="str">
        <f>"0419671"</f>
        <v>0419671</v>
      </c>
      <c r="GDV378" t="s">
        <v>199</v>
      </c>
      <c r="GDW378" t="s">
        <v>25</v>
      </c>
      <c r="GDX378">
        <v>24</v>
      </c>
      <c r="GDY378">
        <v>0.05</v>
      </c>
      <c r="GDZ378">
        <v>1</v>
      </c>
      <c r="GEA378" t="s">
        <v>531</v>
      </c>
      <c r="GEB378" t="str">
        <f>"628669010033"</f>
        <v>628669010033</v>
      </c>
      <c r="GEC378" t="str">
        <f>"0419671"</f>
        <v>0419671</v>
      </c>
      <c r="GED378" t="s">
        <v>199</v>
      </c>
      <c r="GEE378" t="s">
        <v>25</v>
      </c>
      <c r="GEF378">
        <v>24</v>
      </c>
      <c r="GEG378">
        <v>0.05</v>
      </c>
      <c r="GEH378">
        <v>1</v>
      </c>
      <c r="GEI378" t="s">
        <v>531</v>
      </c>
      <c r="GEJ378" t="str">
        <f>"628669010033"</f>
        <v>628669010033</v>
      </c>
      <c r="GEK378" t="str">
        <f>"0419671"</f>
        <v>0419671</v>
      </c>
      <c r="GEL378" t="s">
        <v>199</v>
      </c>
      <c r="GEM378" t="s">
        <v>25</v>
      </c>
      <c r="GEN378">
        <v>24</v>
      </c>
      <c r="GEO378">
        <v>0.05</v>
      </c>
      <c r="GEP378">
        <v>1</v>
      </c>
      <c r="GEQ378" t="s">
        <v>531</v>
      </c>
      <c r="GER378" t="str">
        <f>"628669010033"</f>
        <v>628669010033</v>
      </c>
      <c r="GES378" t="str">
        <f>"0419671"</f>
        <v>0419671</v>
      </c>
      <c r="GET378" t="s">
        <v>199</v>
      </c>
      <c r="GEU378" t="s">
        <v>25</v>
      </c>
      <c r="GEV378">
        <v>24</v>
      </c>
      <c r="GEW378">
        <v>0.05</v>
      </c>
      <c r="GEX378">
        <v>1</v>
      </c>
      <c r="GEY378" t="s">
        <v>531</v>
      </c>
      <c r="GEZ378" t="str">
        <f>"628669010033"</f>
        <v>628669010033</v>
      </c>
      <c r="GFA378" t="str">
        <f>"0419671"</f>
        <v>0419671</v>
      </c>
      <c r="GFB378" t="s">
        <v>199</v>
      </c>
      <c r="GFC378" t="s">
        <v>25</v>
      </c>
      <c r="GFD378">
        <v>24</v>
      </c>
      <c r="GFE378">
        <v>0.05</v>
      </c>
      <c r="GFF378">
        <v>1</v>
      </c>
      <c r="GFG378" t="s">
        <v>531</v>
      </c>
      <c r="GFH378" t="str">
        <f>"628669010033"</f>
        <v>628669010033</v>
      </c>
      <c r="GFI378" t="str">
        <f>"0419671"</f>
        <v>0419671</v>
      </c>
      <c r="GFJ378" t="s">
        <v>199</v>
      </c>
      <c r="GFK378" t="s">
        <v>25</v>
      </c>
      <c r="GFL378">
        <v>24</v>
      </c>
      <c r="GFM378">
        <v>0.05</v>
      </c>
      <c r="GFN378">
        <v>1</v>
      </c>
      <c r="GFO378" t="s">
        <v>531</v>
      </c>
      <c r="GFP378" t="str">
        <f>"628669010033"</f>
        <v>628669010033</v>
      </c>
      <c r="GFQ378" t="str">
        <f>"0419671"</f>
        <v>0419671</v>
      </c>
      <c r="GFR378" t="s">
        <v>199</v>
      </c>
      <c r="GFS378" t="s">
        <v>25</v>
      </c>
      <c r="GFT378">
        <v>24</v>
      </c>
      <c r="GFU378">
        <v>0.05</v>
      </c>
      <c r="GFV378">
        <v>1</v>
      </c>
      <c r="GFW378" t="s">
        <v>531</v>
      </c>
      <c r="GFX378" t="str">
        <f>"628669010033"</f>
        <v>628669010033</v>
      </c>
      <c r="GFY378" t="str">
        <f>"0419671"</f>
        <v>0419671</v>
      </c>
      <c r="GFZ378" t="s">
        <v>199</v>
      </c>
      <c r="GGA378" t="s">
        <v>25</v>
      </c>
      <c r="GGB378">
        <v>24</v>
      </c>
      <c r="GGC378">
        <v>0.05</v>
      </c>
      <c r="GGD378">
        <v>1</v>
      </c>
      <c r="GGE378" t="s">
        <v>531</v>
      </c>
      <c r="GGF378" t="str">
        <f>"628669010033"</f>
        <v>628669010033</v>
      </c>
      <c r="GGG378" t="str">
        <f>"0419671"</f>
        <v>0419671</v>
      </c>
      <c r="GGH378" t="s">
        <v>199</v>
      </c>
      <c r="GGI378" t="s">
        <v>25</v>
      </c>
      <c r="GGJ378">
        <v>24</v>
      </c>
      <c r="GGK378">
        <v>0.05</v>
      </c>
      <c r="GGL378">
        <v>1</v>
      </c>
      <c r="GGM378" t="s">
        <v>531</v>
      </c>
      <c r="GGN378" t="str">
        <f>"628669010033"</f>
        <v>628669010033</v>
      </c>
      <c r="GGO378" t="str">
        <f>"0419671"</f>
        <v>0419671</v>
      </c>
      <c r="GGP378" t="s">
        <v>199</v>
      </c>
      <c r="GGQ378" t="s">
        <v>25</v>
      </c>
      <c r="GGR378">
        <v>24</v>
      </c>
      <c r="GGS378">
        <v>0.05</v>
      </c>
      <c r="GGT378">
        <v>1</v>
      </c>
      <c r="GGU378" t="s">
        <v>531</v>
      </c>
      <c r="GGV378" t="str">
        <f>"628669010033"</f>
        <v>628669010033</v>
      </c>
      <c r="GGW378" t="str">
        <f>"0419671"</f>
        <v>0419671</v>
      </c>
      <c r="GGX378" t="s">
        <v>199</v>
      </c>
      <c r="GGY378" t="s">
        <v>25</v>
      </c>
      <c r="GGZ378">
        <v>24</v>
      </c>
      <c r="GHA378">
        <v>0.05</v>
      </c>
      <c r="GHB378">
        <v>1</v>
      </c>
      <c r="GHC378" t="s">
        <v>531</v>
      </c>
      <c r="GHD378" t="str">
        <f>"628669010033"</f>
        <v>628669010033</v>
      </c>
      <c r="GHE378" t="str">
        <f>"0419671"</f>
        <v>0419671</v>
      </c>
      <c r="GHF378" t="s">
        <v>199</v>
      </c>
      <c r="GHG378" t="s">
        <v>25</v>
      </c>
      <c r="GHH378">
        <v>24</v>
      </c>
      <c r="GHI378">
        <v>0.05</v>
      </c>
      <c r="GHJ378">
        <v>1</v>
      </c>
      <c r="GHK378" t="s">
        <v>531</v>
      </c>
      <c r="GHL378" t="str">
        <f>"628669010033"</f>
        <v>628669010033</v>
      </c>
      <c r="GHM378" t="str">
        <f>"0419671"</f>
        <v>0419671</v>
      </c>
      <c r="GHN378" t="s">
        <v>199</v>
      </c>
      <c r="GHO378" t="s">
        <v>25</v>
      </c>
      <c r="GHP378">
        <v>24</v>
      </c>
      <c r="GHQ378">
        <v>0.05</v>
      </c>
      <c r="GHR378">
        <v>1</v>
      </c>
      <c r="GHS378" t="s">
        <v>531</v>
      </c>
      <c r="GHT378" t="str">
        <f>"628669010033"</f>
        <v>628669010033</v>
      </c>
      <c r="GHU378" t="str">
        <f>"0419671"</f>
        <v>0419671</v>
      </c>
      <c r="GHV378" t="s">
        <v>199</v>
      </c>
      <c r="GHW378" t="s">
        <v>25</v>
      </c>
      <c r="GHX378">
        <v>24</v>
      </c>
      <c r="GHY378">
        <v>0.05</v>
      </c>
      <c r="GHZ378">
        <v>1</v>
      </c>
      <c r="GIA378" t="s">
        <v>531</v>
      </c>
      <c r="GIB378" t="str">
        <f>"628669010033"</f>
        <v>628669010033</v>
      </c>
      <c r="GIC378" t="str">
        <f>"0419671"</f>
        <v>0419671</v>
      </c>
      <c r="GID378" t="s">
        <v>199</v>
      </c>
      <c r="GIE378" t="s">
        <v>25</v>
      </c>
      <c r="GIF378">
        <v>24</v>
      </c>
      <c r="GIG378">
        <v>0.05</v>
      </c>
      <c r="GIH378">
        <v>1</v>
      </c>
      <c r="GII378" t="s">
        <v>531</v>
      </c>
      <c r="GIJ378" t="str">
        <f>"628669010033"</f>
        <v>628669010033</v>
      </c>
      <c r="GIK378" t="str">
        <f>"0419671"</f>
        <v>0419671</v>
      </c>
      <c r="GIL378" t="s">
        <v>199</v>
      </c>
      <c r="GIM378" t="s">
        <v>25</v>
      </c>
      <c r="GIN378">
        <v>24</v>
      </c>
      <c r="GIO378">
        <v>0.05</v>
      </c>
      <c r="GIP378">
        <v>1</v>
      </c>
      <c r="GIQ378" t="s">
        <v>531</v>
      </c>
      <c r="GIR378" t="str">
        <f>"628669010033"</f>
        <v>628669010033</v>
      </c>
      <c r="GIS378" t="str">
        <f>"0419671"</f>
        <v>0419671</v>
      </c>
      <c r="GIT378" t="s">
        <v>199</v>
      </c>
      <c r="GIU378" t="s">
        <v>25</v>
      </c>
      <c r="GIV378">
        <v>24</v>
      </c>
      <c r="GIW378">
        <v>0.05</v>
      </c>
      <c r="GIX378">
        <v>1</v>
      </c>
      <c r="GIY378" t="s">
        <v>531</v>
      </c>
      <c r="GIZ378" t="str">
        <f>"628669010033"</f>
        <v>628669010033</v>
      </c>
      <c r="GJA378" t="str">
        <f>"0419671"</f>
        <v>0419671</v>
      </c>
      <c r="GJB378" t="s">
        <v>199</v>
      </c>
      <c r="GJC378" t="s">
        <v>25</v>
      </c>
      <c r="GJD378">
        <v>24</v>
      </c>
      <c r="GJE378">
        <v>0.05</v>
      </c>
      <c r="GJF378">
        <v>1</v>
      </c>
      <c r="GJG378" t="s">
        <v>531</v>
      </c>
      <c r="GJH378" t="str">
        <f>"628669010033"</f>
        <v>628669010033</v>
      </c>
      <c r="GJI378" t="str">
        <f>"0419671"</f>
        <v>0419671</v>
      </c>
      <c r="GJJ378" t="s">
        <v>199</v>
      </c>
      <c r="GJK378" t="s">
        <v>25</v>
      </c>
      <c r="GJL378">
        <v>24</v>
      </c>
      <c r="GJM378">
        <v>0.05</v>
      </c>
      <c r="GJN378">
        <v>1</v>
      </c>
      <c r="GJO378" t="s">
        <v>531</v>
      </c>
      <c r="GJP378" t="str">
        <f>"628669010033"</f>
        <v>628669010033</v>
      </c>
      <c r="GJQ378" t="str">
        <f>"0419671"</f>
        <v>0419671</v>
      </c>
      <c r="GJR378" t="s">
        <v>199</v>
      </c>
      <c r="GJS378" t="s">
        <v>25</v>
      </c>
      <c r="GJT378">
        <v>24</v>
      </c>
      <c r="GJU378">
        <v>0.05</v>
      </c>
      <c r="GJV378">
        <v>1</v>
      </c>
      <c r="GJW378" t="s">
        <v>531</v>
      </c>
      <c r="GJX378" t="str">
        <f>"628669010033"</f>
        <v>628669010033</v>
      </c>
      <c r="GJY378" t="str">
        <f>"0419671"</f>
        <v>0419671</v>
      </c>
      <c r="GJZ378" t="s">
        <v>199</v>
      </c>
      <c r="GKA378" t="s">
        <v>25</v>
      </c>
      <c r="GKB378">
        <v>24</v>
      </c>
      <c r="GKC378">
        <v>0.05</v>
      </c>
      <c r="GKD378">
        <v>1</v>
      </c>
      <c r="GKE378" t="s">
        <v>531</v>
      </c>
      <c r="GKF378" t="str">
        <f>"628669010033"</f>
        <v>628669010033</v>
      </c>
      <c r="GKG378" t="str">
        <f>"0419671"</f>
        <v>0419671</v>
      </c>
      <c r="GKH378" t="s">
        <v>199</v>
      </c>
      <c r="GKI378" t="s">
        <v>25</v>
      </c>
      <c r="GKJ378">
        <v>24</v>
      </c>
      <c r="GKK378">
        <v>0.05</v>
      </c>
      <c r="GKL378">
        <v>1</v>
      </c>
      <c r="GKM378" t="s">
        <v>531</v>
      </c>
      <c r="GKN378" t="str">
        <f>"628669010033"</f>
        <v>628669010033</v>
      </c>
      <c r="GKO378" t="str">
        <f>"0419671"</f>
        <v>0419671</v>
      </c>
      <c r="GKP378" t="s">
        <v>199</v>
      </c>
      <c r="GKQ378" t="s">
        <v>25</v>
      </c>
      <c r="GKR378">
        <v>24</v>
      </c>
      <c r="GKS378">
        <v>0.05</v>
      </c>
      <c r="GKT378">
        <v>1</v>
      </c>
      <c r="GKU378" t="s">
        <v>531</v>
      </c>
      <c r="GKV378" t="str">
        <f>"628669010033"</f>
        <v>628669010033</v>
      </c>
      <c r="GKW378" t="str">
        <f>"0419671"</f>
        <v>0419671</v>
      </c>
      <c r="GKX378" t="s">
        <v>199</v>
      </c>
      <c r="GKY378" t="s">
        <v>25</v>
      </c>
      <c r="GKZ378">
        <v>24</v>
      </c>
      <c r="GLA378">
        <v>0.05</v>
      </c>
      <c r="GLB378">
        <v>1</v>
      </c>
      <c r="GLC378" t="s">
        <v>531</v>
      </c>
      <c r="GLD378" t="str">
        <f>"628669010033"</f>
        <v>628669010033</v>
      </c>
      <c r="GLE378" t="str">
        <f>"0419671"</f>
        <v>0419671</v>
      </c>
      <c r="GLF378" t="s">
        <v>199</v>
      </c>
      <c r="GLG378" t="s">
        <v>25</v>
      </c>
      <c r="GLH378">
        <v>24</v>
      </c>
      <c r="GLI378">
        <v>0.05</v>
      </c>
      <c r="GLJ378">
        <v>1</v>
      </c>
      <c r="GLK378" t="s">
        <v>531</v>
      </c>
      <c r="GLL378" t="str">
        <f>"628669010033"</f>
        <v>628669010033</v>
      </c>
      <c r="GLM378" t="str">
        <f>"0419671"</f>
        <v>0419671</v>
      </c>
      <c r="GLN378" t="s">
        <v>199</v>
      </c>
      <c r="GLO378" t="s">
        <v>25</v>
      </c>
      <c r="GLP378">
        <v>24</v>
      </c>
      <c r="GLQ378">
        <v>0.05</v>
      </c>
      <c r="GLR378">
        <v>1</v>
      </c>
      <c r="GLS378" t="s">
        <v>531</v>
      </c>
      <c r="GLT378" t="str">
        <f>"628669010033"</f>
        <v>628669010033</v>
      </c>
      <c r="GLU378" t="str">
        <f>"0419671"</f>
        <v>0419671</v>
      </c>
      <c r="GLV378" t="s">
        <v>199</v>
      </c>
      <c r="GLW378" t="s">
        <v>25</v>
      </c>
      <c r="GLX378">
        <v>24</v>
      </c>
      <c r="GLY378">
        <v>0.05</v>
      </c>
      <c r="GLZ378">
        <v>1</v>
      </c>
      <c r="GMA378" t="s">
        <v>531</v>
      </c>
      <c r="GMB378" t="str">
        <f>"628669010033"</f>
        <v>628669010033</v>
      </c>
      <c r="GMC378" t="str">
        <f>"0419671"</f>
        <v>0419671</v>
      </c>
      <c r="GMD378" t="s">
        <v>199</v>
      </c>
      <c r="GME378" t="s">
        <v>25</v>
      </c>
      <c r="GMF378">
        <v>24</v>
      </c>
      <c r="GMG378">
        <v>0.05</v>
      </c>
      <c r="GMH378">
        <v>1</v>
      </c>
      <c r="GMI378" t="s">
        <v>531</v>
      </c>
      <c r="GMJ378" t="str">
        <f>"628669010033"</f>
        <v>628669010033</v>
      </c>
      <c r="GMK378" t="str">
        <f>"0419671"</f>
        <v>0419671</v>
      </c>
      <c r="GML378" t="s">
        <v>199</v>
      </c>
      <c r="GMM378" t="s">
        <v>25</v>
      </c>
      <c r="GMN378">
        <v>24</v>
      </c>
      <c r="GMO378">
        <v>0.05</v>
      </c>
      <c r="GMP378">
        <v>1</v>
      </c>
      <c r="GMQ378" t="s">
        <v>531</v>
      </c>
      <c r="GMR378" t="str">
        <f>"628669010033"</f>
        <v>628669010033</v>
      </c>
      <c r="GMS378" t="str">
        <f>"0419671"</f>
        <v>0419671</v>
      </c>
      <c r="GMT378" t="s">
        <v>199</v>
      </c>
      <c r="GMU378" t="s">
        <v>25</v>
      </c>
      <c r="GMV378">
        <v>24</v>
      </c>
      <c r="GMW378">
        <v>0.05</v>
      </c>
      <c r="GMX378">
        <v>1</v>
      </c>
      <c r="GMY378" t="s">
        <v>531</v>
      </c>
      <c r="GMZ378" t="str">
        <f>"628669010033"</f>
        <v>628669010033</v>
      </c>
      <c r="GNA378" t="str">
        <f>"0419671"</f>
        <v>0419671</v>
      </c>
      <c r="GNB378" t="s">
        <v>199</v>
      </c>
      <c r="GNC378" t="s">
        <v>25</v>
      </c>
      <c r="GND378">
        <v>24</v>
      </c>
      <c r="GNE378">
        <v>0.05</v>
      </c>
      <c r="GNF378">
        <v>1</v>
      </c>
      <c r="GNG378" t="s">
        <v>531</v>
      </c>
      <c r="GNH378" t="str">
        <f>"628669010033"</f>
        <v>628669010033</v>
      </c>
      <c r="GNI378" t="str">
        <f>"0419671"</f>
        <v>0419671</v>
      </c>
      <c r="GNJ378" t="s">
        <v>199</v>
      </c>
      <c r="GNK378" t="s">
        <v>25</v>
      </c>
      <c r="GNL378">
        <v>24</v>
      </c>
      <c r="GNM378">
        <v>0.05</v>
      </c>
      <c r="GNN378">
        <v>1</v>
      </c>
      <c r="GNO378" t="s">
        <v>531</v>
      </c>
      <c r="GNP378" t="str">
        <f>"628669010033"</f>
        <v>628669010033</v>
      </c>
      <c r="GNQ378" t="str">
        <f>"0419671"</f>
        <v>0419671</v>
      </c>
      <c r="GNR378" t="s">
        <v>199</v>
      </c>
      <c r="GNS378" t="s">
        <v>25</v>
      </c>
      <c r="GNT378">
        <v>24</v>
      </c>
      <c r="GNU378">
        <v>0.05</v>
      </c>
      <c r="GNV378">
        <v>1</v>
      </c>
      <c r="GNW378" t="s">
        <v>531</v>
      </c>
      <c r="GNX378" t="str">
        <f>"628669010033"</f>
        <v>628669010033</v>
      </c>
      <c r="GNY378" t="str">
        <f>"0419671"</f>
        <v>0419671</v>
      </c>
      <c r="GNZ378" t="s">
        <v>199</v>
      </c>
      <c r="GOA378" t="s">
        <v>25</v>
      </c>
      <c r="GOB378">
        <v>24</v>
      </c>
      <c r="GOC378">
        <v>0.05</v>
      </c>
      <c r="GOD378">
        <v>1</v>
      </c>
      <c r="GOE378" t="s">
        <v>531</v>
      </c>
      <c r="GOF378" t="str">
        <f>"628669010033"</f>
        <v>628669010033</v>
      </c>
      <c r="GOG378" t="str">
        <f>"0419671"</f>
        <v>0419671</v>
      </c>
      <c r="GOH378" t="s">
        <v>199</v>
      </c>
      <c r="GOI378" t="s">
        <v>25</v>
      </c>
      <c r="GOJ378">
        <v>24</v>
      </c>
      <c r="GOK378">
        <v>0.05</v>
      </c>
      <c r="GOL378">
        <v>1</v>
      </c>
      <c r="GOM378" t="s">
        <v>531</v>
      </c>
      <c r="GON378" t="str">
        <f>"628669010033"</f>
        <v>628669010033</v>
      </c>
      <c r="GOO378" t="str">
        <f>"0419671"</f>
        <v>0419671</v>
      </c>
      <c r="GOP378" t="s">
        <v>199</v>
      </c>
      <c r="GOQ378" t="s">
        <v>25</v>
      </c>
      <c r="GOR378">
        <v>24</v>
      </c>
      <c r="GOS378">
        <v>0.05</v>
      </c>
      <c r="GOT378">
        <v>1</v>
      </c>
      <c r="GOU378" t="s">
        <v>531</v>
      </c>
      <c r="GOV378" t="str">
        <f>"628669010033"</f>
        <v>628669010033</v>
      </c>
      <c r="GOW378" t="str">
        <f>"0419671"</f>
        <v>0419671</v>
      </c>
      <c r="GOX378" t="s">
        <v>199</v>
      </c>
      <c r="GOY378" t="s">
        <v>25</v>
      </c>
      <c r="GOZ378">
        <v>24</v>
      </c>
      <c r="GPA378">
        <v>0.05</v>
      </c>
      <c r="GPB378">
        <v>1</v>
      </c>
      <c r="GPC378" t="s">
        <v>531</v>
      </c>
      <c r="GPD378" t="str">
        <f>"628669010033"</f>
        <v>628669010033</v>
      </c>
      <c r="GPE378" t="str">
        <f>"0419671"</f>
        <v>0419671</v>
      </c>
      <c r="GPF378" t="s">
        <v>199</v>
      </c>
      <c r="GPG378" t="s">
        <v>25</v>
      </c>
      <c r="GPH378">
        <v>24</v>
      </c>
      <c r="GPI378">
        <v>0.05</v>
      </c>
      <c r="GPJ378">
        <v>1</v>
      </c>
      <c r="GPK378" t="s">
        <v>531</v>
      </c>
      <c r="GPL378" t="str">
        <f>"628669010033"</f>
        <v>628669010033</v>
      </c>
      <c r="GPM378" t="str">
        <f>"0419671"</f>
        <v>0419671</v>
      </c>
      <c r="GPN378" t="s">
        <v>199</v>
      </c>
      <c r="GPO378" t="s">
        <v>25</v>
      </c>
      <c r="GPP378">
        <v>24</v>
      </c>
      <c r="GPQ378">
        <v>0.05</v>
      </c>
      <c r="GPR378">
        <v>1</v>
      </c>
      <c r="GPS378" t="s">
        <v>531</v>
      </c>
      <c r="GPT378" t="str">
        <f>"628669010033"</f>
        <v>628669010033</v>
      </c>
      <c r="GPU378" t="str">
        <f>"0419671"</f>
        <v>0419671</v>
      </c>
      <c r="GPV378" t="s">
        <v>199</v>
      </c>
      <c r="GPW378" t="s">
        <v>25</v>
      </c>
      <c r="GPX378">
        <v>24</v>
      </c>
      <c r="GPY378">
        <v>0.05</v>
      </c>
      <c r="GPZ378">
        <v>1</v>
      </c>
      <c r="GQA378" t="s">
        <v>531</v>
      </c>
      <c r="GQB378" t="str">
        <f>"628669010033"</f>
        <v>628669010033</v>
      </c>
      <c r="GQC378" t="str">
        <f>"0419671"</f>
        <v>0419671</v>
      </c>
      <c r="GQD378" t="s">
        <v>199</v>
      </c>
      <c r="GQE378" t="s">
        <v>25</v>
      </c>
      <c r="GQF378">
        <v>24</v>
      </c>
      <c r="GQG378">
        <v>0.05</v>
      </c>
      <c r="GQH378">
        <v>1</v>
      </c>
      <c r="GQI378" t="s">
        <v>531</v>
      </c>
      <c r="GQJ378" t="str">
        <f>"628669010033"</f>
        <v>628669010033</v>
      </c>
      <c r="GQK378" t="str">
        <f>"0419671"</f>
        <v>0419671</v>
      </c>
      <c r="GQL378" t="s">
        <v>199</v>
      </c>
      <c r="GQM378" t="s">
        <v>25</v>
      </c>
      <c r="GQN378">
        <v>24</v>
      </c>
      <c r="GQO378">
        <v>0.05</v>
      </c>
      <c r="GQP378">
        <v>1</v>
      </c>
      <c r="GQQ378" t="s">
        <v>531</v>
      </c>
      <c r="GQR378" t="str">
        <f>"628669010033"</f>
        <v>628669010033</v>
      </c>
      <c r="GQS378" t="str">
        <f>"0419671"</f>
        <v>0419671</v>
      </c>
      <c r="GQT378" t="s">
        <v>199</v>
      </c>
      <c r="GQU378" t="s">
        <v>25</v>
      </c>
      <c r="GQV378">
        <v>24</v>
      </c>
      <c r="GQW378">
        <v>0.05</v>
      </c>
      <c r="GQX378">
        <v>1</v>
      </c>
      <c r="GQY378" t="s">
        <v>531</v>
      </c>
      <c r="GQZ378" t="str">
        <f>"628669010033"</f>
        <v>628669010033</v>
      </c>
      <c r="GRA378" t="str">
        <f>"0419671"</f>
        <v>0419671</v>
      </c>
      <c r="GRB378" t="s">
        <v>199</v>
      </c>
      <c r="GRC378" t="s">
        <v>25</v>
      </c>
      <c r="GRD378">
        <v>24</v>
      </c>
      <c r="GRE378">
        <v>0.05</v>
      </c>
      <c r="GRF378">
        <v>1</v>
      </c>
      <c r="GRG378" t="s">
        <v>531</v>
      </c>
      <c r="GRH378" t="str">
        <f>"628669010033"</f>
        <v>628669010033</v>
      </c>
      <c r="GRI378" t="str">
        <f>"0419671"</f>
        <v>0419671</v>
      </c>
      <c r="GRJ378" t="s">
        <v>199</v>
      </c>
      <c r="GRK378" t="s">
        <v>25</v>
      </c>
      <c r="GRL378">
        <v>24</v>
      </c>
      <c r="GRM378">
        <v>0.05</v>
      </c>
      <c r="GRN378">
        <v>1</v>
      </c>
      <c r="GRO378" t="s">
        <v>531</v>
      </c>
      <c r="GRP378" t="str">
        <f>"628669010033"</f>
        <v>628669010033</v>
      </c>
      <c r="GRQ378" t="str">
        <f>"0419671"</f>
        <v>0419671</v>
      </c>
      <c r="GRR378" t="s">
        <v>199</v>
      </c>
      <c r="GRS378" t="s">
        <v>25</v>
      </c>
      <c r="GRT378">
        <v>24</v>
      </c>
      <c r="GRU378">
        <v>0.05</v>
      </c>
      <c r="GRV378">
        <v>1</v>
      </c>
      <c r="GRW378" t="s">
        <v>531</v>
      </c>
      <c r="GRX378" t="str">
        <f>"628669010033"</f>
        <v>628669010033</v>
      </c>
      <c r="GRY378" t="str">
        <f>"0419671"</f>
        <v>0419671</v>
      </c>
      <c r="GRZ378" t="s">
        <v>199</v>
      </c>
      <c r="GSA378" t="s">
        <v>25</v>
      </c>
      <c r="GSB378">
        <v>24</v>
      </c>
      <c r="GSC378">
        <v>0.05</v>
      </c>
      <c r="GSD378">
        <v>1</v>
      </c>
      <c r="GSE378" t="s">
        <v>531</v>
      </c>
      <c r="GSF378" t="str">
        <f>"628669010033"</f>
        <v>628669010033</v>
      </c>
      <c r="GSG378" t="str">
        <f>"0419671"</f>
        <v>0419671</v>
      </c>
      <c r="GSH378" t="s">
        <v>199</v>
      </c>
      <c r="GSI378" t="s">
        <v>25</v>
      </c>
      <c r="GSJ378">
        <v>24</v>
      </c>
      <c r="GSK378">
        <v>0.05</v>
      </c>
      <c r="GSL378">
        <v>1</v>
      </c>
      <c r="GSM378" t="s">
        <v>531</v>
      </c>
      <c r="GSN378" t="str">
        <f>"628669010033"</f>
        <v>628669010033</v>
      </c>
      <c r="GSO378" t="str">
        <f>"0419671"</f>
        <v>0419671</v>
      </c>
      <c r="GSP378" t="s">
        <v>199</v>
      </c>
      <c r="GSQ378" t="s">
        <v>25</v>
      </c>
      <c r="GSR378">
        <v>24</v>
      </c>
      <c r="GSS378">
        <v>0.05</v>
      </c>
      <c r="GST378">
        <v>1</v>
      </c>
      <c r="GSU378" t="s">
        <v>531</v>
      </c>
      <c r="GSV378" t="str">
        <f>"628669010033"</f>
        <v>628669010033</v>
      </c>
      <c r="GSW378" t="str">
        <f>"0419671"</f>
        <v>0419671</v>
      </c>
      <c r="GSX378" t="s">
        <v>199</v>
      </c>
      <c r="GSY378" t="s">
        <v>25</v>
      </c>
      <c r="GSZ378">
        <v>24</v>
      </c>
      <c r="GTA378">
        <v>0.05</v>
      </c>
      <c r="GTB378">
        <v>1</v>
      </c>
      <c r="GTC378" t="s">
        <v>531</v>
      </c>
      <c r="GTD378" t="str">
        <f>"628669010033"</f>
        <v>628669010033</v>
      </c>
      <c r="GTE378" t="str">
        <f>"0419671"</f>
        <v>0419671</v>
      </c>
      <c r="GTF378" t="s">
        <v>199</v>
      </c>
      <c r="GTG378" t="s">
        <v>25</v>
      </c>
      <c r="GTH378">
        <v>24</v>
      </c>
      <c r="GTI378">
        <v>0.05</v>
      </c>
      <c r="GTJ378">
        <v>1</v>
      </c>
      <c r="GTK378" t="s">
        <v>531</v>
      </c>
      <c r="GTL378" t="str">
        <f>"628669010033"</f>
        <v>628669010033</v>
      </c>
      <c r="GTM378" t="str">
        <f>"0419671"</f>
        <v>0419671</v>
      </c>
      <c r="GTN378" t="s">
        <v>199</v>
      </c>
      <c r="GTO378" t="s">
        <v>25</v>
      </c>
      <c r="GTP378">
        <v>24</v>
      </c>
      <c r="GTQ378">
        <v>0.05</v>
      </c>
      <c r="GTR378">
        <v>1</v>
      </c>
      <c r="GTS378" t="s">
        <v>531</v>
      </c>
      <c r="GTT378" t="str">
        <f>"628669010033"</f>
        <v>628669010033</v>
      </c>
      <c r="GTU378" t="str">
        <f>"0419671"</f>
        <v>0419671</v>
      </c>
      <c r="GTV378" t="s">
        <v>199</v>
      </c>
      <c r="GTW378" t="s">
        <v>25</v>
      </c>
      <c r="GTX378">
        <v>24</v>
      </c>
      <c r="GTY378">
        <v>0.05</v>
      </c>
      <c r="GTZ378">
        <v>1</v>
      </c>
      <c r="GUA378" t="s">
        <v>531</v>
      </c>
      <c r="GUB378" t="str">
        <f>"628669010033"</f>
        <v>628669010033</v>
      </c>
      <c r="GUC378" t="str">
        <f>"0419671"</f>
        <v>0419671</v>
      </c>
      <c r="GUD378" t="s">
        <v>199</v>
      </c>
      <c r="GUE378" t="s">
        <v>25</v>
      </c>
      <c r="GUF378">
        <v>24</v>
      </c>
      <c r="GUG378">
        <v>0.05</v>
      </c>
      <c r="GUH378">
        <v>1</v>
      </c>
      <c r="GUI378" t="s">
        <v>531</v>
      </c>
      <c r="GUJ378" t="str">
        <f>"628669010033"</f>
        <v>628669010033</v>
      </c>
      <c r="GUK378" t="str">
        <f>"0419671"</f>
        <v>0419671</v>
      </c>
      <c r="GUL378" t="s">
        <v>199</v>
      </c>
      <c r="GUM378" t="s">
        <v>25</v>
      </c>
      <c r="GUN378">
        <v>24</v>
      </c>
      <c r="GUO378">
        <v>0.05</v>
      </c>
      <c r="GUP378">
        <v>1</v>
      </c>
      <c r="GUQ378" t="s">
        <v>531</v>
      </c>
      <c r="GUR378" t="str">
        <f>"628669010033"</f>
        <v>628669010033</v>
      </c>
      <c r="GUS378" t="str">
        <f>"0419671"</f>
        <v>0419671</v>
      </c>
      <c r="GUT378" t="s">
        <v>199</v>
      </c>
      <c r="GUU378" t="s">
        <v>25</v>
      </c>
      <c r="GUV378">
        <v>24</v>
      </c>
      <c r="GUW378">
        <v>0.05</v>
      </c>
      <c r="GUX378">
        <v>1</v>
      </c>
      <c r="GUY378" t="s">
        <v>531</v>
      </c>
      <c r="GUZ378" t="str">
        <f>"628669010033"</f>
        <v>628669010033</v>
      </c>
      <c r="GVA378" t="str">
        <f>"0419671"</f>
        <v>0419671</v>
      </c>
      <c r="GVB378" t="s">
        <v>199</v>
      </c>
      <c r="GVC378" t="s">
        <v>25</v>
      </c>
      <c r="GVD378">
        <v>24</v>
      </c>
      <c r="GVE378">
        <v>0.05</v>
      </c>
      <c r="GVF378">
        <v>1</v>
      </c>
      <c r="GVG378" t="s">
        <v>531</v>
      </c>
      <c r="GVH378" t="str">
        <f>"628669010033"</f>
        <v>628669010033</v>
      </c>
      <c r="GVI378" t="str">
        <f>"0419671"</f>
        <v>0419671</v>
      </c>
      <c r="GVJ378" t="s">
        <v>199</v>
      </c>
      <c r="GVK378" t="s">
        <v>25</v>
      </c>
      <c r="GVL378">
        <v>24</v>
      </c>
      <c r="GVM378">
        <v>0.05</v>
      </c>
      <c r="GVN378">
        <v>1</v>
      </c>
      <c r="GVO378" t="s">
        <v>531</v>
      </c>
      <c r="GVP378" t="str">
        <f>"628669010033"</f>
        <v>628669010033</v>
      </c>
      <c r="GVQ378" t="str">
        <f>"0419671"</f>
        <v>0419671</v>
      </c>
      <c r="GVR378" t="s">
        <v>199</v>
      </c>
      <c r="GVS378" t="s">
        <v>25</v>
      </c>
      <c r="GVT378">
        <v>24</v>
      </c>
      <c r="GVU378">
        <v>0.05</v>
      </c>
      <c r="GVV378">
        <v>1</v>
      </c>
      <c r="GVW378" t="s">
        <v>531</v>
      </c>
      <c r="GVX378" t="str">
        <f>"628669010033"</f>
        <v>628669010033</v>
      </c>
      <c r="GVY378" t="str">
        <f>"0419671"</f>
        <v>0419671</v>
      </c>
      <c r="GVZ378" t="s">
        <v>199</v>
      </c>
      <c r="GWA378" t="s">
        <v>25</v>
      </c>
      <c r="GWB378">
        <v>24</v>
      </c>
      <c r="GWC378">
        <v>0.05</v>
      </c>
      <c r="GWD378">
        <v>1</v>
      </c>
      <c r="GWE378" t="s">
        <v>531</v>
      </c>
      <c r="GWF378" t="str">
        <f>"628669010033"</f>
        <v>628669010033</v>
      </c>
      <c r="GWG378" t="str">
        <f>"0419671"</f>
        <v>0419671</v>
      </c>
      <c r="GWH378" t="s">
        <v>199</v>
      </c>
      <c r="GWI378" t="s">
        <v>25</v>
      </c>
      <c r="GWJ378">
        <v>24</v>
      </c>
      <c r="GWK378">
        <v>0.05</v>
      </c>
      <c r="GWL378">
        <v>1</v>
      </c>
      <c r="GWM378" t="s">
        <v>531</v>
      </c>
      <c r="GWN378" t="str">
        <f>"628669010033"</f>
        <v>628669010033</v>
      </c>
      <c r="GWO378" t="str">
        <f>"0419671"</f>
        <v>0419671</v>
      </c>
      <c r="GWP378" t="s">
        <v>199</v>
      </c>
      <c r="GWQ378" t="s">
        <v>25</v>
      </c>
      <c r="GWR378">
        <v>24</v>
      </c>
      <c r="GWS378">
        <v>0.05</v>
      </c>
      <c r="GWT378">
        <v>1</v>
      </c>
      <c r="GWU378" t="s">
        <v>531</v>
      </c>
      <c r="GWV378" t="str">
        <f>"628669010033"</f>
        <v>628669010033</v>
      </c>
      <c r="GWW378" t="str">
        <f>"0419671"</f>
        <v>0419671</v>
      </c>
      <c r="GWX378" t="s">
        <v>199</v>
      </c>
      <c r="GWY378" t="s">
        <v>25</v>
      </c>
      <c r="GWZ378">
        <v>24</v>
      </c>
      <c r="GXA378">
        <v>0.05</v>
      </c>
      <c r="GXB378">
        <v>1</v>
      </c>
      <c r="GXC378" t="s">
        <v>531</v>
      </c>
      <c r="GXD378" t="str">
        <f>"628669010033"</f>
        <v>628669010033</v>
      </c>
      <c r="GXE378" t="str">
        <f>"0419671"</f>
        <v>0419671</v>
      </c>
      <c r="GXF378" t="s">
        <v>199</v>
      </c>
      <c r="GXG378" t="s">
        <v>25</v>
      </c>
      <c r="GXH378">
        <v>24</v>
      </c>
      <c r="GXI378">
        <v>0.05</v>
      </c>
      <c r="GXJ378">
        <v>1</v>
      </c>
      <c r="GXK378" t="s">
        <v>531</v>
      </c>
      <c r="GXL378" t="str">
        <f>"628669010033"</f>
        <v>628669010033</v>
      </c>
      <c r="GXM378" t="str">
        <f>"0419671"</f>
        <v>0419671</v>
      </c>
      <c r="GXN378" t="s">
        <v>199</v>
      </c>
      <c r="GXO378" t="s">
        <v>25</v>
      </c>
      <c r="GXP378">
        <v>24</v>
      </c>
      <c r="GXQ378">
        <v>0.05</v>
      </c>
      <c r="GXR378">
        <v>1</v>
      </c>
      <c r="GXS378" t="s">
        <v>531</v>
      </c>
      <c r="GXT378" t="str">
        <f>"628669010033"</f>
        <v>628669010033</v>
      </c>
      <c r="GXU378" t="str">
        <f>"0419671"</f>
        <v>0419671</v>
      </c>
      <c r="GXV378" t="s">
        <v>199</v>
      </c>
      <c r="GXW378" t="s">
        <v>25</v>
      </c>
      <c r="GXX378">
        <v>24</v>
      </c>
      <c r="GXY378">
        <v>0.05</v>
      </c>
      <c r="GXZ378">
        <v>1</v>
      </c>
      <c r="GYA378" t="s">
        <v>531</v>
      </c>
      <c r="GYB378" t="str">
        <f>"628669010033"</f>
        <v>628669010033</v>
      </c>
      <c r="GYC378" t="str">
        <f>"0419671"</f>
        <v>0419671</v>
      </c>
      <c r="GYD378" t="s">
        <v>199</v>
      </c>
      <c r="GYE378" t="s">
        <v>25</v>
      </c>
      <c r="GYF378">
        <v>24</v>
      </c>
      <c r="GYG378">
        <v>0.05</v>
      </c>
      <c r="GYH378">
        <v>1</v>
      </c>
      <c r="GYI378" t="s">
        <v>531</v>
      </c>
      <c r="GYJ378" t="str">
        <f>"628669010033"</f>
        <v>628669010033</v>
      </c>
      <c r="GYK378" t="str">
        <f>"0419671"</f>
        <v>0419671</v>
      </c>
      <c r="GYL378" t="s">
        <v>199</v>
      </c>
      <c r="GYM378" t="s">
        <v>25</v>
      </c>
      <c r="GYN378">
        <v>24</v>
      </c>
      <c r="GYO378">
        <v>0.05</v>
      </c>
      <c r="GYP378">
        <v>1</v>
      </c>
      <c r="GYQ378" t="s">
        <v>531</v>
      </c>
      <c r="GYR378" t="str">
        <f>"628669010033"</f>
        <v>628669010033</v>
      </c>
      <c r="GYS378" t="str">
        <f>"0419671"</f>
        <v>0419671</v>
      </c>
      <c r="GYT378" t="s">
        <v>199</v>
      </c>
      <c r="GYU378" t="s">
        <v>25</v>
      </c>
      <c r="GYV378">
        <v>24</v>
      </c>
      <c r="GYW378">
        <v>0.05</v>
      </c>
      <c r="GYX378">
        <v>1</v>
      </c>
      <c r="GYY378" t="s">
        <v>531</v>
      </c>
      <c r="GYZ378" t="str">
        <f>"628669010033"</f>
        <v>628669010033</v>
      </c>
      <c r="GZA378" t="str">
        <f>"0419671"</f>
        <v>0419671</v>
      </c>
      <c r="GZB378" t="s">
        <v>199</v>
      </c>
      <c r="GZC378" t="s">
        <v>25</v>
      </c>
      <c r="GZD378">
        <v>24</v>
      </c>
      <c r="GZE378">
        <v>0.05</v>
      </c>
      <c r="GZF378">
        <v>1</v>
      </c>
      <c r="GZG378" t="s">
        <v>531</v>
      </c>
      <c r="GZH378" t="str">
        <f>"628669010033"</f>
        <v>628669010033</v>
      </c>
      <c r="GZI378" t="str">
        <f>"0419671"</f>
        <v>0419671</v>
      </c>
      <c r="GZJ378" t="s">
        <v>199</v>
      </c>
      <c r="GZK378" t="s">
        <v>25</v>
      </c>
      <c r="GZL378">
        <v>24</v>
      </c>
      <c r="GZM378">
        <v>0.05</v>
      </c>
      <c r="GZN378">
        <v>1</v>
      </c>
      <c r="GZO378" t="s">
        <v>531</v>
      </c>
      <c r="GZP378" t="str">
        <f>"628669010033"</f>
        <v>628669010033</v>
      </c>
      <c r="GZQ378" t="str">
        <f>"0419671"</f>
        <v>0419671</v>
      </c>
      <c r="GZR378" t="s">
        <v>199</v>
      </c>
      <c r="GZS378" t="s">
        <v>25</v>
      </c>
      <c r="GZT378">
        <v>24</v>
      </c>
      <c r="GZU378">
        <v>0.05</v>
      </c>
      <c r="GZV378">
        <v>1</v>
      </c>
      <c r="GZW378" t="s">
        <v>531</v>
      </c>
      <c r="GZX378" t="str">
        <f>"628669010033"</f>
        <v>628669010033</v>
      </c>
      <c r="GZY378" t="str">
        <f>"0419671"</f>
        <v>0419671</v>
      </c>
      <c r="GZZ378" t="s">
        <v>199</v>
      </c>
      <c r="HAA378" t="s">
        <v>25</v>
      </c>
      <c r="HAB378">
        <v>24</v>
      </c>
      <c r="HAC378">
        <v>0.05</v>
      </c>
      <c r="HAD378">
        <v>1</v>
      </c>
      <c r="HAE378" t="s">
        <v>531</v>
      </c>
      <c r="HAF378" t="str">
        <f>"628669010033"</f>
        <v>628669010033</v>
      </c>
      <c r="HAG378" t="str">
        <f>"0419671"</f>
        <v>0419671</v>
      </c>
      <c r="HAH378" t="s">
        <v>199</v>
      </c>
      <c r="HAI378" t="s">
        <v>25</v>
      </c>
      <c r="HAJ378">
        <v>24</v>
      </c>
      <c r="HAK378">
        <v>0.05</v>
      </c>
      <c r="HAL378">
        <v>1</v>
      </c>
      <c r="HAM378" t="s">
        <v>531</v>
      </c>
      <c r="HAN378" t="str">
        <f>"628669010033"</f>
        <v>628669010033</v>
      </c>
      <c r="HAO378" t="str">
        <f>"0419671"</f>
        <v>0419671</v>
      </c>
      <c r="HAP378" t="s">
        <v>199</v>
      </c>
      <c r="HAQ378" t="s">
        <v>25</v>
      </c>
      <c r="HAR378">
        <v>24</v>
      </c>
      <c r="HAS378">
        <v>0.05</v>
      </c>
      <c r="HAT378">
        <v>1</v>
      </c>
      <c r="HAU378" t="s">
        <v>531</v>
      </c>
      <c r="HAV378" t="str">
        <f>"628669010033"</f>
        <v>628669010033</v>
      </c>
      <c r="HAW378" t="str">
        <f>"0419671"</f>
        <v>0419671</v>
      </c>
      <c r="HAX378" t="s">
        <v>199</v>
      </c>
      <c r="HAY378" t="s">
        <v>25</v>
      </c>
      <c r="HAZ378">
        <v>24</v>
      </c>
      <c r="HBA378">
        <v>0.05</v>
      </c>
      <c r="HBB378">
        <v>1</v>
      </c>
      <c r="HBC378" t="s">
        <v>531</v>
      </c>
      <c r="HBD378" t="str">
        <f>"628669010033"</f>
        <v>628669010033</v>
      </c>
      <c r="HBE378" t="str">
        <f>"0419671"</f>
        <v>0419671</v>
      </c>
      <c r="HBF378" t="s">
        <v>199</v>
      </c>
      <c r="HBG378" t="s">
        <v>25</v>
      </c>
      <c r="HBH378">
        <v>24</v>
      </c>
      <c r="HBI378">
        <v>0.05</v>
      </c>
      <c r="HBJ378">
        <v>1</v>
      </c>
      <c r="HBK378" t="s">
        <v>531</v>
      </c>
      <c r="HBL378" t="str">
        <f>"628669010033"</f>
        <v>628669010033</v>
      </c>
      <c r="HBM378" t="str">
        <f>"0419671"</f>
        <v>0419671</v>
      </c>
      <c r="HBN378" t="s">
        <v>199</v>
      </c>
      <c r="HBO378" t="s">
        <v>25</v>
      </c>
      <c r="HBP378">
        <v>24</v>
      </c>
      <c r="HBQ378">
        <v>0.05</v>
      </c>
      <c r="HBR378">
        <v>1</v>
      </c>
      <c r="HBS378" t="s">
        <v>531</v>
      </c>
      <c r="HBT378" t="str">
        <f>"628669010033"</f>
        <v>628669010033</v>
      </c>
      <c r="HBU378" t="str">
        <f>"0419671"</f>
        <v>0419671</v>
      </c>
      <c r="HBV378" t="s">
        <v>199</v>
      </c>
      <c r="HBW378" t="s">
        <v>25</v>
      </c>
      <c r="HBX378">
        <v>24</v>
      </c>
      <c r="HBY378">
        <v>0.05</v>
      </c>
      <c r="HBZ378">
        <v>1</v>
      </c>
      <c r="HCA378" t="s">
        <v>531</v>
      </c>
      <c r="HCB378" t="str">
        <f>"628669010033"</f>
        <v>628669010033</v>
      </c>
      <c r="HCC378" t="str">
        <f>"0419671"</f>
        <v>0419671</v>
      </c>
      <c r="HCD378" t="s">
        <v>199</v>
      </c>
      <c r="HCE378" t="s">
        <v>25</v>
      </c>
      <c r="HCF378">
        <v>24</v>
      </c>
      <c r="HCG378">
        <v>0.05</v>
      </c>
      <c r="HCH378">
        <v>1</v>
      </c>
      <c r="HCI378" t="s">
        <v>531</v>
      </c>
      <c r="HCJ378" t="str">
        <f>"628669010033"</f>
        <v>628669010033</v>
      </c>
      <c r="HCK378" t="str">
        <f>"0419671"</f>
        <v>0419671</v>
      </c>
      <c r="HCL378" t="s">
        <v>199</v>
      </c>
      <c r="HCM378" t="s">
        <v>25</v>
      </c>
      <c r="HCN378">
        <v>24</v>
      </c>
      <c r="HCO378">
        <v>0.05</v>
      </c>
      <c r="HCP378">
        <v>1</v>
      </c>
      <c r="HCQ378" t="s">
        <v>531</v>
      </c>
      <c r="HCR378" t="str">
        <f>"628669010033"</f>
        <v>628669010033</v>
      </c>
      <c r="HCS378" t="str">
        <f>"0419671"</f>
        <v>0419671</v>
      </c>
      <c r="HCT378" t="s">
        <v>199</v>
      </c>
      <c r="HCU378" t="s">
        <v>25</v>
      </c>
      <c r="HCV378">
        <v>24</v>
      </c>
      <c r="HCW378">
        <v>0.05</v>
      </c>
      <c r="HCX378">
        <v>1</v>
      </c>
      <c r="HCY378" t="s">
        <v>531</v>
      </c>
      <c r="HCZ378" t="str">
        <f>"628669010033"</f>
        <v>628669010033</v>
      </c>
      <c r="HDA378" t="str">
        <f>"0419671"</f>
        <v>0419671</v>
      </c>
      <c r="HDB378" t="s">
        <v>199</v>
      </c>
      <c r="HDC378" t="s">
        <v>25</v>
      </c>
      <c r="HDD378">
        <v>24</v>
      </c>
      <c r="HDE378">
        <v>0.05</v>
      </c>
      <c r="HDF378">
        <v>1</v>
      </c>
      <c r="HDG378" t="s">
        <v>531</v>
      </c>
      <c r="HDH378" t="str">
        <f>"628669010033"</f>
        <v>628669010033</v>
      </c>
      <c r="HDI378" t="str">
        <f>"0419671"</f>
        <v>0419671</v>
      </c>
      <c r="HDJ378" t="s">
        <v>199</v>
      </c>
      <c r="HDK378" t="s">
        <v>25</v>
      </c>
      <c r="HDL378">
        <v>24</v>
      </c>
      <c r="HDM378">
        <v>0.05</v>
      </c>
      <c r="HDN378">
        <v>1</v>
      </c>
      <c r="HDO378" t="s">
        <v>531</v>
      </c>
      <c r="HDP378" t="str">
        <f>"628669010033"</f>
        <v>628669010033</v>
      </c>
      <c r="HDQ378" t="str">
        <f>"0419671"</f>
        <v>0419671</v>
      </c>
      <c r="HDR378" t="s">
        <v>199</v>
      </c>
      <c r="HDS378" t="s">
        <v>25</v>
      </c>
      <c r="HDT378">
        <v>24</v>
      </c>
      <c r="HDU378">
        <v>0.05</v>
      </c>
      <c r="HDV378">
        <v>1</v>
      </c>
      <c r="HDW378" t="s">
        <v>531</v>
      </c>
      <c r="HDX378" t="str">
        <f>"628669010033"</f>
        <v>628669010033</v>
      </c>
      <c r="HDY378" t="str">
        <f>"0419671"</f>
        <v>0419671</v>
      </c>
      <c r="HDZ378" t="s">
        <v>199</v>
      </c>
      <c r="HEA378" t="s">
        <v>25</v>
      </c>
      <c r="HEB378">
        <v>24</v>
      </c>
      <c r="HEC378">
        <v>0.05</v>
      </c>
      <c r="HED378">
        <v>1</v>
      </c>
      <c r="HEE378" t="s">
        <v>531</v>
      </c>
      <c r="HEF378" t="str">
        <f>"628669010033"</f>
        <v>628669010033</v>
      </c>
      <c r="HEG378" t="str">
        <f>"0419671"</f>
        <v>0419671</v>
      </c>
      <c r="HEH378" t="s">
        <v>199</v>
      </c>
      <c r="HEI378" t="s">
        <v>25</v>
      </c>
      <c r="HEJ378">
        <v>24</v>
      </c>
      <c r="HEK378">
        <v>0.05</v>
      </c>
      <c r="HEL378">
        <v>1</v>
      </c>
      <c r="HEM378" t="s">
        <v>531</v>
      </c>
      <c r="HEN378" t="str">
        <f>"628669010033"</f>
        <v>628669010033</v>
      </c>
      <c r="HEO378" t="str">
        <f>"0419671"</f>
        <v>0419671</v>
      </c>
      <c r="HEP378" t="s">
        <v>199</v>
      </c>
      <c r="HEQ378" t="s">
        <v>25</v>
      </c>
      <c r="HER378">
        <v>24</v>
      </c>
      <c r="HES378">
        <v>0.05</v>
      </c>
      <c r="HET378">
        <v>1</v>
      </c>
      <c r="HEU378" t="s">
        <v>531</v>
      </c>
      <c r="HEV378" t="str">
        <f>"628669010033"</f>
        <v>628669010033</v>
      </c>
      <c r="HEW378" t="str">
        <f>"0419671"</f>
        <v>0419671</v>
      </c>
      <c r="HEX378" t="s">
        <v>199</v>
      </c>
      <c r="HEY378" t="s">
        <v>25</v>
      </c>
      <c r="HEZ378">
        <v>24</v>
      </c>
      <c r="HFA378">
        <v>0.05</v>
      </c>
      <c r="HFB378">
        <v>1</v>
      </c>
      <c r="HFC378" t="s">
        <v>531</v>
      </c>
      <c r="HFD378" t="str">
        <f>"628669010033"</f>
        <v>628669010033</v>
      </c>
      <c r="HFE378" t="str">
        <f>"0419671"</f>
        <v>0419671</v>
      </c>
      <c r="HFF378" t="s">
        <v>199</v>
      </c>
      <c r="HFG378" t="s">
        <v>25</v>
      </c>
      <c r="HFH378">
        <v>24</v>
      </c>
      <c r="HFI378">
        <v>0.05</v>
      </c>
      <c r="HFJ378">
        <v>1</v>
      </c>
      <c r="HFK378" t="s">
        <v>531</v>
      </c>
      <c r="HFL378" t="str">
        <f>"628669010033"</f>
        <v>628669010033</v>
      </c>
      <c r="HFM378" t="str">
        <f>"0419671"</f>
        <v>0419671</v>
      </c>
      <c r="HFN378" t="s">
        <v>199</v>
      </c>
      <c r="HFO378" t="s">
        <v>25</v>
      </c>
      <c r="HFP378">
        <v>24</v>
      </c>
      <c r="HFQ378">
        <v>0.05</v>
      </c>
      <c r="HFR378">
        <v>1</v>
      </c>
      <c r="HFS378" t="s">
        <v>531</v>
      </c>
      <c r="HFT378" t="str">
        <f>"628669010033"</f>
        <v>628669010033</v>
      </c>
      <c r="HFU378" t="str">
        <f>"0419671"</f>
        <v>0419671</v>
      </c>
      <c r="HFV378" t="s">
        <v>199</v>
      </c>
      <c r="HFW378" t="s">
        <v>25</v>
      </c>
      <c r="HFX378">
        <v>24</v>
      </c>
      <c r="HFY378">
        <v>0.05</v>
      </c>
      <c r="HFZ378">
        <v>1</v>
      </c>
      <c r="HGA378" t="s">
        <v>531</v>
      </c>
      <c r="HGB378" t="str">
        <f>"628669010033"</f>
        <v>628669010033</v>
      </c>
      <c r="HGC378" t="str">
        <f>"0419671"</f>
        <v>0419671</v>
      </c>
      <c r="HGD378" t="s">
        <v>199</v>
      </c>
      <c r="HGE378" t="s">
        <v>25</v>
      </c>
      <c r="HGF378">
        <v>24</v>
      </c>
      <c r="HGG378">
        <v>0.05</v>
      </c>
      <c r="HGH378">
        <v>1</v>
      </c>
      <c r="HGI378" t="s">
        <v>531</v>
      </c>
      <c r="HGJ378" t="str">
        <f>"628669010033"</f>
        <v>628669010033</v>
      </c>
      <c r="HGK378" t="str">
        <f>"0419671"</f>
        <v>0419671</v>
      </c>
      <c r="HGL378" t="s">
        <v>199</v>
      </c>
      <c r="HGM378" t="s">
        <v>25</v>
      </c>
      <c r="HGN378">
        <v>24</v>
      </c>
      <c r="HGO378">
        <v>0.05</v>
      </c>
      <c r="HGP378">
        <v>1</v>
      </c>
      <c r="HGQ378" t="s">
        <v>531</v>
      </c>
      <c r="HGR378" t="str">
        <f>"628669010033"</f>
        <v>628669010033</v>
      </c>
      <c r="HGS378" t="str">
        <f>"0419671"</f>
        <v>0419671</v>
      </c>
      <c r="HGT378" t="s">
        <v>199</v>
      </c>
      <c r="HGU378" t="s">
        <v>25</v>
      </c>
      <c r="HGV378">
        <v>24</v>
      </c>
      <c r="HGW378">
        <v>0.05</v>
      </c>
      <c r="HGX378">
        <v>1</v>
      </c>
      <c r="HGY378" t="s">
        <v>531</v>
      </c>
      <c r="HGZ378" t="str">
        <f>"628669010033"</f>
        <v>628669010033</v>
      </c>
      <c r="HHA378" t="str">
        <f>"0419671"</f>
        <v>0419671</v>
      </c>
      <c r="HHB378" t="s">
        <v>199</v>
      </c>
      <c r="HHC378" t="s">
        <v>25</v>
      </c>
      <c r="HHD378">
        <v>24</v>
      </c>
      <c r="HHE378">
        <v>0.05</v>
      </c>
      <c r="HHF378">
        <v>1</v>
      </c>
      <c r="HHG378" t="s">
        <v>531</v>
      </c>
      <c r="HHH378" t="str">
        <f>"628669010033"</f>
        <v>628669010033</v>
      </c>
      <c r="HHI378" t="str">
        <f>"0419671"</f>
        <v>0419671</v>
      </c>
      <c r="HHJ378" t="s">
        <v>199</v>
      </c>
      <c r="HHK378" t="s">
        <v>25</v>
      </c>
      <c r="HHL378">
        <v>24</v>
      </c>
      <c r="HHM378">
        <v>0.05</v>
      </c>
      <c r="HHN378">
        <v>1</v>
      </c>
      <c r="HHO378" t="s">
        <v>531</v>
      </c>
      <c r="HHP378" t="str">
        <f>"628669010033"</f>
        <v>628669010033</v>
      </c>
      <c r="HHQ378" t="str">
        <f>"0419671"</f>
        <v>0419671</v>
      </c>
      <c r="HHR378" t="s">
        <v>199</v>
      </c>
      <c r="HHS378" t="s">
        <v>25</v>
      </c>
      <c r="HHT378">
        <v>24</v>
      </c>
      <c r="HHU378">
        <v>0.05</v>
      </c>
      <c r="HHV378">
        <v>1</v>
      </c>
      <c r="HHW378" t="s">
        <v>531</v>
      </c>
      <c r="HHX378" t="str">
        <f>"628669010033"</f>
        <v>628669010033</v>
      </c>
      <c r="HHY378" t="str">
        <f>"0419671"</f>
        <v>0419671</v>
      </c>
      <c r="HHZ378" t="s">
        <v>199</v>
      </c>
      <c r="HIA378" t="s">
        <v>25</v>
      </c>
      <c r="HIB378">
        <v>24</v>
      </c>
      <c r="HIC378">
        <v>0.05</v>
      </c>
      <c r="HID378">
        <v>1</v>
      </c>
      <c r="HIE378" t="s">
        <v>531</v>
      </c>
      <c r="HIF378" t="str">
        <f>"628669010033"</f>
        <v>628669010033</v>
      </c>
      <c r="HIG378" t="str">
        <f>"0419671"</f>
        <v>0419671</v>
      </c>
      <c r="HIH378" t="s">
        <v>199</v>
      </c>
      <c r="HII378" t="s">
        <v>25</v>
      </c>
      <c r="HIJ378">
        <v>24</v>
      </c>
      <c r="HIK378">
        <v>0.05</v>
      </c>
      <c r="HIL378">
        <v>1</v>
      </c>
      <c r="HIM378" t="s">
        <v>531</v>
      </c>
      <c r="HIN378" t="str">
        <f>"628669010033"</f>
        <v>628669010033</v>
      </c>
      <c r="HIO378" t="str">
        <f>"0419671"</f>
        <v>0419671</v>
      </c>
      <c r="HIP378" t="s">
        <v>199</v>
      </c>
      <c r="HIQ378" t="s">
        <v>25</v>
      </c>
      <c r="HIR378">
        <v>24</v>
      </c>
      <c r="HIS378">
        <v>0.05</v>
      </c>
      <c r="HIT378">
        <v>1</v>
      </c>
      <c r="HIU378" t="s">
        <v>531</v>
      </c>
      <c r="HIV378" t="str">
        <f>"628669010033"</f>
        <v>628669010033</v>
      </c>
      <c r="HIW378" t="str">
        <f>"0419671"</f>
        <v>0419671</v>
      </c>
      <c r="HIX378" t="s">
        <v>199</v>
      </c>
      <c r="HIY378" t="s">
        <v>25</v>
      </c>
      <c r="HIZ378">
        <v>24</v>
      </c>
      <c r="HJA378">
        <v>0.05</v>
      </c>
      <c r="HJB378">
        <v>1</v>
      </c>
      <c r="HJC378" t="s">
        <v>531</v>
      </c>
      <c r="HJD378" t="str">
        <f>"628669010033"</f>
        <v>628669010033</v>
      </c>
      <c r="HJE378" t="str">
        <f>"0419671"</f>
        <v>0419671</v>
      </c>
      <c r="HJF378" t="s">
        <v>199</v>
      </c>
      <c r="HJG378" t="s">
        <v>25</v>
      </c>
      <c r="HJH378">
        <v>24</v>
      </c>
      <c r="HJI378">
        <v>0.05</v>
      </c>
      <c r="HJJ378">
        <v>1</v>
      </c>
      <c r="HJK378" t="s">
        <v>531</v>
      </c>
      <c r="HJL378" t="str">
        <f>"628669010033"</f>
        <v>628669010033</v>
      </c>
      <c r="HJM378" t="str">
        <f>"0419671"</f>
        <v>0419671</v>
      </c>
      <c r="HJN378" t="s">
        <v>199</v>
      </c>
      <c r="HJO378" t="s">
        <v>25</v>
      </c>
      <c r="HJP378">
        <v>24</v>
      </c>
      <c r="HJQ378">
        <v>0.05</v>
      </c>
      <c r="HJR378">
        <v>1</v>
      </c>
      <c r="HJS378" t="s">
        <v>531</v>
      </c>
      <c r="HJT378" t="str">
        <f>"628669010033"</f>
        <v>628669010033</v>
      </c>
      <c r="HJU378" t="str">
        <f>"0419671"</f>
        <v>0419671</v>
      </c>
      <c r="HJV378" t="s">
        <v>199</v>
      </c>
      <c r="HJW378" t="s">
        <v>25</v>
      </c>
      <c r="HJX378">
        <v>24</v>
      </c>
      <c r="HJY378">
        <v>0.05</v>
      </c>
      <c r="HJZ378">
        <v>1</v>
      </c>
      <c r="HKA378" t="s">
        <v>531</v>
      </c>
      <c r="HKB378" t="str">
        <f>"628669010033"</f>
        <v>628669010033</v>
      </c>
      <c r="HKC378" t="str">
        <f>"0419671"</f>
        <v>0419671</v>
      </c>
      <c r="HKD378" t="s">
        <v>199</v>
      </c>
      <c r="HKE378" t="s">
        <v>25</v>
      </c>
      <c r="HKF378">
        <v>24</v>
      </c>
      <c r="HKG378">
        <v>0.05</v>
      </c>
      <c r="HKH378">
        <v>1</v>
      </c>
      <c r="HKI378" t="s">
        <v>531</v>
      </c>
      <c r="HKJ378" t="str">
        <f>"628669010033"</f>
        <v>628669010033</v>
      </c>
      <c r="HKK378" t="str">
        <f>"0419671"</f>
        <v>0419671</v>
      </c>
      <c r="HKL378" t="s">
        <v>199</v>
      </c>
      <c r="HKM378" t="s">
        <v>25</v>
      </c>
      <c r="HKN378">
        <v>24</v>
      </c>
      <c r="HKO378">
        <v>0.05</v>
      </c>
      <c r="HKP378">
        <v>1</v>
      </c>
      <c r="HKQ378" t="s">
        <v>531</v>
      </c>
      <c r="HKR378" t="str">
        <f>"628669010033"</f>
        <v>628669010033</v>
      </c>
      <c r="HKS378" t="str">
        <f>"0419671"</f>
        <v>0419671</v>
      </c>
      <c r="HKT378" t="s">
        <v>199</v>
      </c>
      <c r="HKU378" t="s">
        <v>25</v>
      </c>
      <c r="HKV378">
        <v>24</v>
      </c>
      <c r="HKW378">
        <v>0.05</v>
      </c>
      <c r="HKX378">
        <v>1</v>
      </c>
      <c r="HKY378" t="s">
        <v>531</v>
      </c>
      <c r="HKZ378" t="str">
        <f>"628669010033"</f>
        <v>628669010033</v>
      </c>
      <c r="HLA378" t="str">
        <f>"0419671"</f>
        <v>0419671</v>
      </c>
      <c r="HLB378" t="s">
        <v>199</v>
      </c>
      <c r="HLC378" t="s">
        <v>25</v>
      </c>
      <c r="HLD378">
        <v>24</v>
      </c>
      <c r="HLE378">
        <v>0.05</v>
      </c>
      <c r="HLF378">
        <v>1</v>
      </c>
      <c r="HLG378" t="s">
        <v>531</v>
      </c>
      <c r="HLH378" t="str">
        <f>"628669010033"</f>
        <v>628669010033</v>
      </c>
      <c r="HLI378" t="str">
        <f>"0419671"</f>
        <v>0419671</v>
      </c>
      <c r="HLJ378" t="s">
        <v>199</v>
      </c>
      <c r="HLK378" t="s">
        <v>25</v>
      </c>
      <c r="HLL378">
        <v>24</v>
      </c>
      <c r="HLM378">
        <v>0.05</v>
      </c>
      <c r="HLN378">
        <v>1</v>
      </c>
      <c r="HLO378" t="s">
        <v>531</v>
      </c>
      <c r="HLP378" t="str">
        <f>"628669010033"</f>
        <v>628669010033</v>
      </c>
      <c r="HLQ378" t="str">
        <f>"0419671"</f>
        <v>0419671</v>
      </c>
      <c r="HLR378" t="s">
        <v>199</v>
      </c>
      <c r="HLS378" t="s">
        <v>25</v>
      </c>
      <c r="HLT378">
        <v>24</v>
      </c>
      <c r="HLU378">
        <v>0.05</v>
      </c>
      <c r="HLV378">
        <v>1</v>
      </c>
      <c r="HLW378" t="s">
        <v>531</v>
      </c>
      <c r="HLX378" t="str">
        <f>"628669010033"</f>
        <v>628669010033</v>
      </c>
      <c r="HLY378" t="str">
        <f>"0419671"</f>
        <v>0419671</v>
      </c>
      <c r="HLZ378" t="s">
        <v>199</v>
      </c>
      <c r="HMA378" t="s">
        <v>25</v>
      </c>
      <c r="HMB378">
        <v>24</v>
      </c>
      <c r="HMC378">
        <v>0.05</v>
      </c>
      <c r="HMD378">
        <v>1</v>
      </c>
      <c r="HME378" t="s">
        <v>531</v>
      </c>
      <c r="HMF378" t="str">
        <f>"628669010033"</f>
        <v>628669010033</v>
      </c>
      <c r="HMG378" t="str">
        <f>"0419671"</f>
        <v>0419671</v>
      </c>
      <c r="HMH378" t="s">
        <v>199</v>
      </c>
      <c r="HMI378" t="s">
        <v>25</v>
      </c>
      <c r="HMJ378">
        <v>24</v>
      </c>
      <c r="HMK378">
        <v>0.05</v>
      </c>
      <c r="HML378">
        <v>1</v>
      </c>
      <c r="HMM378" t="s">
        <v>531</v>
      </c>
      <c r="HMN378" t="str">
        <f>"628669010033"</f>
        <v>628669010033</v>
      </c>
      <c r="HMO378" t="str">
        <f>"0419671"</f>
        <v>0419671</v>
      </c>
      <c r="HMP378" t="s">
        <v>199</v>
      </c>
      <c r="HMQ378" t="s">
        <v>25</v>
      </c>
      <c r="HMR378">
        <v>24</v>
      </c>
      <c r="HMS378">
        <v>0.05</v>
      </c>
      <c r="HMT378">
        <v>1</v>
      </c>
      <c r="HMU378" t="s">
        <v>531</v>
      </c>
      <c r="HMV378" t="str">
        <f>"628669010033"</f>
        <v>628669010033</v>
      </c>
      <c r="HMW378" t="str">
        <f>"0419671"</f>
        <v>0419671</v>
      </c>
      <c r="HMX378" t="s">
        <v>199</v>
      </c>
      <c r="HMY378" t="s">
        <v>25</v>
      </c>
      <c r="HMZ378">
        <v>24</v>
      </c>
      <c r="HNA378">
        <v>0.05</v>
      </c>
      <c r="HNB378">
        <v>1</v>
      </c>
      <c r="HNC378" t="s">
        <v>531</v>
      </c>
      <c r="HND378" t="str">
        <f>"628669010033"</f>
        <v>628669010033</v>
      </c>
      <c r="HNE378" t="str">
        <f>"0419671"</f>
        <v>0419671</v>
      </c>
      <c r="HNF378" t="s">
        <v>199</v>
      </c>
      <c r="HNG378" t="s">
        <v>25</v>
      </c>
      <c r="HNH378">
        <v>24</v>
      </c>
      <c r="HNI378">
        <v>0.05</v>
      </c>
      <c r="HNJ378">
        <v>1</v>
      </c>
      <c r="HNK378" t="s">
        <v>531</v>
      </c>
      <c r="HNL378" t="str">
        <f>"628669010033"</f>
        <v>628669010033</v>
      </c>
      <c r="HNM378" t="str">
        <f>"0419671"</f>
        <v>0419671</v>
      </c>
      <c r="HNN378" t="s">
        <v>199</v>
      </c>
      <c r="HNO378" t="s">
        <v>25</v>
      </c>
      <c r="HNP378">
        <v>24</v>
      </c>
      <c r="HNQ378">
        <v>0.05</v>
      </c>
      <c r="HNR378">
        <v>1</v>
      </c>
      <c r="HNS378" t="s">
        <v>531</v>
      </c>
      <c r="HNT378" t="str">
        <f>"628669010033"</f>
        <v>628669010033</v>
      </c>
      <c r="HNU378" t="str">
        <f>"0419671"</f>
        <v>0419671</v>
      </c>
      <c r="HNV378" t="s">
        <v>199</v>
      </c>
      <c r="HNW378" t="s">
        <v>25</v>
      </c>
      <c r="HNX378">
        <v>24</v>
      </c>
      <c r="HNY378">
        <v>0.05</v>
      </c>
      <c r="HNZ378">
        <v>1</v>
      </c>
      <c r="HOA378" t="s">
        <v>531</v>
      </c>
      <c r="HOB378" t="str">
        <f>"628669010033"</f>
        <v>628669010033</v>
      </c>
      <c r="HOC378" t="str">
        <f>"0419671"</f>
        <v>0419671</v>
      </c>
      <c r="HOD378" t="s">
        <v>199</v>
      </c>
      <c r="HOE378" t="s">
        <v>25</v>
      </c>
      <c r="HOF378">
        <v>24</v>
      </c>
      <c r="HOG378">
        <v>0.05</v>
      </c>
      <c r="HOH378">
        <v>1</v>
      </c>
      <c r="HOI378" t="s">
        <v>531</v>
      </c>
      <c r="HOJ378" t="str">
        <f>"628669010033"</f>
        <v>628669010033</v>
      </c>
      <c r="HOK378" t="str">
        <f>"0419671"</f>
        <v>0419671</v>
      </c>
      <c r="HOL378" t="s">
        <v>199</v>
      </c>
      <c r="HOM378" t="s">
        <v>25</v>
      </c>
      <c r="HON378">
        <v>24</v>
      </c>
      <c r="HOO378">
        <v>0.05</v>
      </c>
      <c r="HOP378">
        <v>1</v>
      </c>
      <c r="HOQ378" t="s">
        <v>531</v>
      </c>
      <c r="HOR378" t="str">
        <f>"628669010033"</f>
        <v>628669010033</v>
      </c>
      <c r="HOS378" t="str">
        <f>"0419671"</f>
        <v>0419671</v>
      </c>
      <c r="HOT378" t="s">
        <v>199</v>
      </c>
      <c r="HOU378" t="s">
        <v>25</v>
      </c>
      <c r="HOV378">
        <v>24</v>
      </c>
      <c r="HOW378">
        <v>0.05</v>
      </c>
      <c r="HOX378">
        <v>1</v>
      </c>
      <c r="HOY378" t="s">
        <v>531</v>
      </c>
      <c r="HOZ378" t="str">
        <f>"628669010033"</f>
        <v>628669010033</v>
      </c>
      <c r="HPA378" t="str">
        <f>"0419671"</f>
        <v>0419671</v>
      </c>
      <c r="HPB378" t="s">
        <v>199</v>
      </c>
      <c r="HPC378" t="s">
        <v>25</v>
      </c>
      <c r="HPD378">
        <v>24</v>
      </c>
      <c r="HPE378">
        <v>0.05</v>
      </c>
      <c r="HPF378">
        <v>1</v>
      </c>
      <c r="HPG378" t="s">
        <v>531</v>
      </c>
      <c r="HPH378" t="str">
        <f>"628669010033"</f>
        <v>628669010033</v>
      </c>
      <c r="HPI378" t="str">
        <f>"0419671"</f>
        <v>0419671</v>
      </c>
      <c r="HPJ378" t="s">
        <v>199</v>
      </c>
      <c r="HPK378" t="s">
        <v>25</v>
      </c>
      <c r="HPL378">
        <v>24</v>
      </c>
      <c r="HPM378">
        <v>0.05</v>
      </c>
      <c r="HPN378">
        <v>1</v>
      </c>
      <c r="HPO378" t="s">
        <v>531</v>
      </c>
      <c r="HPP378" t="str">
        <f>"628669010033"</f>
        <v>628669010033</v>
      </c>
      <c r="HPQ378" t="str">
        <f>"0419671"</f>
        <v>0419671</v>
      </c>
      <c r="HPR378" t="s">
        <v>199</v>
      </c>
      <c r="HPS378" t="s">
        <v>25</v>
      </c>
      <c r="HPT378">
        <v>24</v>
      </c>
      <c r="HPU378">
        <v>0.05</v>
      </c>
      <c r="HPV378">
        <v>1</v>
      </c>
      <c r="HPW378" t="s">
        <v>531</v>
      </c>
      <c r="HPX378" t="str">
        <f>"628669010033"</f>
        <v>628669010033</v>
      </c>
      <c r="HPY378" t="str">
        <f>"0419671"</f>
        <v>0419671</v>
      </c>
      <c r="HPZ378" t="s">
        <v>199</v>
      </c>
      <c r="HQA378" t="s">
        <v>25</v>
      </c>
      <c r="HQB378">
        <v>24</v>
      </c>
      <c r="HQC378">
        <v>0.05</v>
      </c>
      <c r="HQD378">
        <v>1</v>
      </c>
      <c r="HQE378" t="s">
        <v>531</v>
      </c>
      <c r="HQF378" t="str">
        <f>"628669010033"</f>
        <v>628669010033</v>
      </c>
      <c r="HQG378" t="str">
        <f>"0419671"</f>
        <v>0419671</v>
      </c>
      <c r="HQH378" t="s">
        <v>199</v>
      </c>
      <c r="HQI378" t="s">
        <v>25</v>
      </c>
      <c r="HQJ378">
        <v>24</v>
      </c>
      <c r="HQK378">
        <v>0.05</v>
      </c>
      <c r="HQL378">
        <v>1</v>
      </c>
      <c r="HQM378" t="s">
        <v>531</v>
      </c>
      <c r="HQN378" t="str">
        <f>"628669010033"</f>
        <v>628669010033</v>
      </c>
      <c r="HQO378" t="str">
        <f>"0419671"</f>
        <v>0419671</v>
      </c>
      <c r="HQP378" t="s">
        <v>199</v>
      </c>
      <c r="HQQ378" t="s">
        <v>25</v>
      </c>
      <c r="HQR378">
        <v>24</v>
      </c>
      <c r="HQS378">
        <v>0.05</v>
      </c>
      <c r="HQT378">
        <v>1</v>
      </c>
      <c r="HQU378" t="s">
        <v>531</v>
      </c>
      <c r="HQV378" t="str">
        <f>"628669010033"</f>
        <v>628669010033</v>
      </c>
      <c r="HQW378" t="str">
        <f>"0419671"</f>
        <v>0419671</v>
      </c>
      <c r="HQX378" t="s">
        <v>199</v>
      </c>
      <c r="HQY378" t="s">
        <v>25</v>
      </c>
      <c r="HQZ378">
        <v>24</v>
      </c>
      <c r="HRA378">
        <v>0.05</v>
      </c>
      <c r="HRB378">
        <v>1</v>
      </c>
      <c r="HRC378" t="s">
        <v>531</v>
      </c>
      <c r="HRD378" t="str">
        <f>"628669010033"</f>
        <v>628669010033</v>
      </c>
      <c r="HRE378" t="str">
        <f>"0419671"</f>
        <v>0419671</v>
      </c>
      <c r="HRF378" t="s">
        <v>199</v>
      </c>
      <c r="HRG378" t="s">
        <v>25</v>
      </c>
      <c r="HRH378">
        <v>24</v>
      </c>
      <c r="HRI378">
        <v>0.05</v>
      </c>
      <c r="HRJ378">
        <v>1</v>
      </c>
      <c r="HRK378" t="s">
        <v>531</v>
      </c>
      <c r="HRL378" t="str">
        <f>"628669010033"</f>
        <v>628669010033</v>
      </c>
      <c r="HRM378" t="str">
        <f>"0419671"</f>
        <v>0419671</v>
      </c>
      <c r="HRN378" t="s">
        <v>199</v>
      </c>
      <c r="HRO378" t="s">
        <v>25</v>
      </c>
      <c r="HRP378">
        <v>24</v>
      </c>
      <c r="HRQ378">
        <v>0.05</v>
      </c>
      <c r="HRR378">
        <v>1</v>
      </c>
      <c r="HRS378" t="s">
        <v>531</v>
      </c>
      <c r="HRT378" t="str">
        <f>"628669010033"</f>
        <v>628669010033</v>
      </c>
      <c r="HRU378" t="str">
        <f>"0419671"</f>
        <v>0419671</v>
      </c>
      <c r="HRV378" t="s">
        <v>199</v>
      </c>
      <c r="HRW378" t="s">
        <v>25</v>
      </c>
      <c r="HRX378">
        <v>24</v>
      </c>
      <c r="HRY378">
        <v>0.05</v>
      </c>
      <c r="HRZ378">
        <v>1</v>
      </c>
      <c r="HSA378" t="s">
        <v>531</v>
      </c>
      <c r="HSB378" t="str">
        <f>"628669010033"</f>
        <v>628669010033</v>
      </c>
      <c r="HSC378" t="str">
        <f>"0419671"</f>
        <v>0419671</v>
      </c>
      <c r="HSD378" t="s">
        <v>199</v>
      </c>
      <c r="HSE378" t="s">
        <v>25</v>
      </c>
      <c r="HSF378">
        <v>24</v>
      </c>
      <c r="HSG378">
        <v>0.05</v>
      </c>
      <c r="HSH378">
        <v>1</v>
      </c>
      <c r="HSI378" t="s">
        <v>531</v>
      </c>
      <c r="HSJ378" t="str">
        <f>"628669010033"</f>
        <v>628669010033</v>
      </c>
      <c r="HSK378" t="str">
        <f>"0419671"</f>
        <v>0419671</v>
      </c>
      <c r="HSL378" t="s">
        <v>199</v>
      </c>
      <c r="HSM378" t="s">
        <v>25</v>
      </c>
      <c r="HSN378">
        <v>24</v>
      </c>
      <c r="HSO378">
        <v>0.05</v>
      </c>
      <c r="HSP378">
        <v>1</v>
      </c>
      <c r="HSQ378" t="s">
        <v>531</v>
      </c>
      <c r="HSR378" t="str">
        <f>"628669010033"</f>
        <v>628669010033</v>
      </c>
      <c r="HSS378" t="str">
        <f>"0419671"</f>
        <v>0419671</v>
      </c>
      <c r="HST378" t="s">
        <v>199</v>
      </c>
      <c r="HSU378" t="s">
        <v>25</v>
      </c>
      <c r="HSV378">
        <v>24</v>
      </c>
      <c r="HSW378">
        <v>0.05</v>
      </c>
      <c r="HSX378">
        <v>1</v>
      </c>
      <c r="HSY378" t="s">
        <v>531</v>
      </c>
      <c r="HSZ378" t="str">
        <f>"628669010033"</f>
        <v>628669010033</v>
      </c>
      <c r="HTA378" t="str">
        <f>"0419671"</f>
        <v>0419671</v>
      </c>
      <c r="HTB378" t="s">
        <v>199</v>
      </c>
      <c r="HTC378" t="s">
        <v>25</v>
      </c>
      <c r="HTD378">
        <v>24</v>
      </c>
      <c r="HTE378">
        <v>0.05</v>
      </c>
      <c r="HTF378">
        <v>1</v>
      </c>
      <c r="HTG378" t="s">
        <v>531</v>
      </c>
      <c r="HTH378" t="str">
        <f>"628669010033"</f>
        <v>628669010033</v>
      </c>
      <c r="HTI378" t="str">
        <f>"0419671"</f>
        <v>0419671</v>
      </c>
      <c r="HTJ378" t="s">
        <v>199</v>
      </c>
      <c r="HTK378" t="s">
        <v>25</v>
      </c>
      <c r="HTL378">
        <v>24</v>
      </c>
      <c r="HTM378">
        <v>0.05</v>
      </c>
      <c r="HTN378">
        <v>1</v>
      </c>
      <c r="HTO378" t="s">
        <v>531</v>
      </c>
      <c r="HTP378" t="str">
        <f>"628669010033"</f>
        <v>628669010033</v>
      </c>
      <c r="HTQ378" t="str">
        <f>"0419671"</f>
        <v>0419671</v>
      </c>
      <c r="HTR378" t="s">
        <v>199</v>
      </c>
      <c r="HTS378" t="s">
        <v>25</v>
      </c>
      <c r="HTT378">
        <v>24</v>
      </c>
      <c r="HTU378">
        <v>0.05</v>
      </c>
      <c r="HTV378">
        <v>1</v>
      </c>
      <c r="HTW378" t="s">
        <v>531</v>
      </c>
      <c r="HTX378" t="str">
        <f>"628669010033"</f>
        <v>628669010033</v>
      </c>
      <c r="HTY378" t="str">
        <f>"0419671"</f>
        <v>0419671</v>
      </c>
      <c r="HTZ378" t="s">
        <v>199</v>
      </c>
      <c r="HUA378" t="s">
        <v>25</v>
      </c>
      <c r="HUB378">
        <v>24</v>
      </c>
      <c r="HUC378">
        <v>0.05</v>
      </c>
      <c r="HUD378">
        <v>1</v>
      </c>
      <c r="HUE378" t="s">
        <v>531</v>
      </c>
      <c r="HUF378" t="str">
        <f>"628669010033"</f>
        <v>628669010033</v>
      </c>
      <c r="HUG378" t="str">
        <f>"0419671"</f>
        <v>0419671</v>
      </c>
      <c r="HUH378" t="s">
        <v>199</v>
      </c>
      <c r="HUI378" t="s">
        <v>25</v>
      </c>
      <c r="HUJ378">
        <v>24</v>
      </c>
      <c r="HUK378">
        <v>0.05</v>
      </c>
      <c r="HUL378">
        <v>1</v>
      </c>
      <c r="HUM378" t="s">
        <v>531</v>
      </c>
      <c r="HUN378" t="str">
        <f>"628669010033"</f>
        <v>628669010033</v>
      </c>
      <c r="HUO378" t="str">
        <f>"0419671"</f>
        <v>0419671</v>
      </c>
      <c r="HUP378" t="s">
        <v>199</v>
      </c>
      <c r="HUQ378" t="s">
        <v>25</v>
      </c>
      <c r="HUR378">
        <v>24</v>
      </c>
      <c r="HUS378">
        <v>0.05</v>
      </c>
      <c r="HUT378">
        <v>1</v>
      </c>
      <c r="HUU378" t="s">
        <v>531</v>
      </c>
      <c r="HUV378" t="str">
        <f>"628669010033"</f>
        <v>628669010033</v>
      </c>
      <c r="HUW378" t="str">
        <f>"0419671"</f>
        <v>0419671</v>
      </c>
      <c r="HUX378" t="s">
        <v>199</v>
      </c>
      <c r="HUY378" t="s">
        <v>25</v>
      </c>
      <c r="HUZ378">
        <v>24</v>
      </c>
      <c r="HVA378">
        <v>0.05</v>
      </c>
      <c r="HVB378">
        <v>1</v>
      </c>
      <c r="HVC378" t="s">
        <v>531</v>
      </c>
      <c r="HVD378" t="str">
        <f>"628669010033"</f>
        <v>628669010033</v>
      </c>
      <c r="HVE378" t="str">
        <f>"0419671"</f>
        <v>0419671</v>
      </c>
      <c r="HVF378" t="s">
        <v>199</v>
      </c>
      <c r="HVG378" t="s">
        <v>25</v>
      </c>
      <c r="HVH378">
        <v>24</v>
      </c>
      <c r="HVI378">
        <v>0.05</v>
      </c>
      <c r="HVJ378">
        <v>1</v>
      </c>
      <c r="HVK378" t="s">
        <v>531</v>
      </c>
      <c r="HVL378" t="str">
        <f>"628669010033"</f>
        <v>628669010033</v>
      </c>
      <c r="HVM378" t="str">
        <f>"0419671"</f>
        <v>0419671</v>
      </c>
      <c r="HVN378" t="s">
        <v>199</v>
      </c>
      <c r="HVO378" t="s">
        <v>25</v>
      </c>
      <c r="HVP378">
        <v>24</v>
      </c>
      <c r="HVQ378">
        <v>0.05</v>
      </c>
      <c r="HVR378">
        <v>1</v>
      </c>
      <c r="HVS378" t="s">
        <v>531</v>
      </c>
      <c r="HVT378" t="str">
        <f>"628669010033"</f>
        <v>628669010033</v>
      </c>
      <c r="HVU378" t="str">
        <f>"0419671"</f>
        <v>0419671</v>
      </c>
      <c r="HVV378" t="s">
        <v>199</v>
      </c>
      <c r="HVW378" t="s">
        <v>25</v>
      </c>
      <c r="HVX378">
        <v>24</v>
      </c>
      <c r="HVY378">
        <v>0.05</v>
      </c>
      <c r="HVZ378">
        <v>1</v>
      </c>
      <c r="HWA378" t="s">
        <v>531</v>
      </c>
      <c r="HWB378" t="str">
        <f>"628669010033"</f>
        <v>628669010033</v>
      </c>
      <c r="HWC378" t="str">
        <f>"0419671"</f>
        <v>0419671</v>
      </c>
      <c r="HWD378" t="s">
        <v>199</v>
      </c>
      <c r="HWE378" t="s">
        <v>25</v>
      </c>
      <c r="HWF378">
        <v>24</v>
      </c>
      <c r="HWG378">
        <v>0.05</v>
      </c>
      <c r="HWH378">
        <v>1</v>
      </c>
      <c r="HWI378" t="s">
        <v>531</v>
      </c>
      <c r="HWJ378" t="str">
        <f>"628669010033"</f>
        <v>628669010033</v>
      </c>
      <c r="HWK378" t="str">
        <f>"0419671"</f>
        <v>0419671</v>
      </c>
      <c r="HWL378" t="s">
        <v>199</v>
      </c>
      <c r="HWM378" t="s">
        <v>25</v>
      </c>
      <c r="HWN378">
        <v>24</v>
      </c>
      <c r="HWO378">
        <v>0.05</v>
      </c>
      <c r="HWP378">
        <v>1</v>
      </c>
      <c r="HWQ378" t="s">
        <v>531</v>
      </c>
      <c r="HWR378" t="str">
        <f>"628669010033"</f>
        <v>628669010033</v>
      </c>
      <c r="HWS378" t="str">
        <f>"0419671"</f>
        <v>0419671</v>
      </c>
      <c r="HWT378" t="s">
        <v>199</v>
      </c>
      <c r="HWU378" t="s">
        <v>25</v>
      </c>
      <c r="HWV378">
        <v>24</v>
      </c>
      <c r="HWW378">
        <v>0.05</v>
      </c>
      <c r="HWX378">
        <v>1</v>
      </c>
      <c r="HWY378" t="s">
        <v>531</v>
      </c>
      <c r="HWZ378" t="str">
        <f>"628669010033"</f>
        <v>628669010033</v>
      </c>
      <c r="HXA378" t="str">
        <f>"0419671"</f>
        <v>0419671</v>
      </c>
      <c r="HXB378" t="s">
        <v>199</v>
      </c>
      <c r="HXC378" t="s">
        <v>25</v>
      </c>
      <c r="HXD378">
        <v>24</v>
      </c>
      <c r="HXE378">
        <v>0.05</v>
      </c>
      <c r="HXF378">
        <v>1</v>
      </c>
      <c r="HXG378" t="s">
        <v>531</v>
      </c>
      <c r="HXH378" t="str">
        <f>"628669010033"</f>
        <v>628669010033</v>
      </c>
      <c r="HXI378" t="str">
        <f>"0419671"</f>
        <v>0419671</v>
      </c>
      <c r="HXJ378" t="s">
        <v>199</v>
      </c>
      <c r="HXK378" t="s">
        <v>25</v>
      </c>
      <c r="HXL378">
        <v>24</v>
      </c>
      <c r="HXM378">
        <v>0.05</v>
      </c>
      <c r="HXN378">
        <v>1</v>
      </c>
      <c r="HXO378" t="s">
        <v>531</v>
      </c>
      <c r="HXP378" t="str">
        <f>"628669010033"</f>
        <v>628669010033</v>
      </c>
      <c r="HXQ378" t="str">
        <f>"0419671"</f>
        <v>0419671</v>
      </c>
      <c r="HXR378" t="s">
        <v>199</v>
      </c>
      <c r="HXS378" t="s">
        <v>25</v>
      </c>
      <c r="HXT378">
        <v>24</v>
      </c>
      <c r="HXU378">
        <v>0.05</v>
      </c>
      <c r="HXV378">
        <v>1</v>
      </c>
      <c r="HXW378" t="s">
        <v>531</v>
      </c>
      <c r="HXX378" t="str">
        <f>"628669010033"</f>
        <v>628669010033</v>
      </c>
      <c r="HXY378" t="str">
        <f>"0419671"</f>
        <v>0419671</v>
      </c>
      <c r="HXZ378" t="s">
        <v>199</v>
      </c>
      <c r="HYA378" t="s">
        <v>25</v>
      </c>
      <c r="HYB378">
        <v>24</v>
      </c>
      <c r="HYC378">
        <v>0.05</v>
      </c>
      <c r="HYD378">
        <v>1</v>
      </c>
      <c r="HYE378" t="s">
        <v>531</v>
      </c>
      <c r="HYF378" t="str">
        <f>"628669010033"</f>
        <v>628669010033</v>
      </c>
      <c r="HYG378" t="str">
        <f>"0419671"</f>
        <v>0419671</v>
      </c>
      <c r="HYH378" t="s">
        <v>199</v>
      </c>
      <c r="HYI378" t="s">
        <v>25</v>
      </c>
      <c r="HYJ378">
        <v>24</v>
      </c>
      <c r="HYK378">
        <v>0.05</v>
      </c>
      <c r="HYL378">
        <v>1</v>
      </c>
      <c r="HYM378" t="s">
        <v>531</v>
      </c>
      <c r="HYN378" t="str">
        <f>"628669010033"</f>
        <v>628669010033</v>
      </c>
      <c r="HYO378" t="str">
        <f>"0419671"</f>
        <v>0419671</v>
      </c>
      <c r="HYP378" t="s">
        <v>199</v>
      </c>
      <c r="HYQ378" t="s">
        <v>25</v>
      </c>
      <c r="HYR378">
        <v>24</v>
      </c>
      <c r="HYS378">
        <v>0.05</v>
      </c>
      <c r="HYT378">
        <v>1</v>
      </c>
      <c r="HYU378" t="s">
        <v>531</v>
      </c>
      <c r="HYV378" t="str">
        <f>"628669010033"</f>
        <v>628669010033</v>
      </c>
      <c r="HYW378" t="str">
        <f>"0419671"</f>
        <v>0419671</v>
      </c>
      <c r="HYX378" t="s">
        <v>199</v>
      </c>
      <c r="HYY378" t="s">
        <v>25</v>
      </c>
      <c r="HYZ378">
        <v>24</v>
      </c>
      <c r="HZA378">
        <v>0.05</v>
      </c>
      <c r="HZB378">
        <v>1</v>
      </c>
      <c r="HZC378" t="s">
        <v>531</v>
      </c>
      <c r="HZD378" t="str">
        <f>"628669010033"</f>
        <v>628669010033</v>
      </c>
      <c r="HZE378" t="str">
        <f>"0419671"</f>
        <v>0419671</v>
      </c>
      <c r="HZF378" t="s">
        <v>199</v>
      </c>
      <c r="HZG378" t="s">
        <v>25</v>
      </c>
      <c r="HZH378">
        <v>24</v>
      </c>
      <c r="HZI378">
        <v>0.05</v>
      </c>
      <c r="HZJ378">
        <v>1</v>
      </c>
      <c r="HZK378" t="s">
        <v>531</v>
      </c>
      <c r="HZL378" t="str">
        <f>"628669010033"</f>
        <v>628669010033</v>
      </c>
      <c r="HZM378" t="str">
        <f>"0419671"</f>
        <v>0419671</v>
      </c>
      <c r="HZN378" t="s">
        <v>199</v>
      </c>
      <c r="HZO378" t="s">
        <v>25</v>
      </c>
      <c r="HZP378">
        <v>24</v>
      </c>
      <c r="HZQ378">
        <v>0.05</v>
      </c>
      <c r="HZR378">
        <v>1</v>
      </c>
      <c r="HZS378" t="s">
        <v>531</v>
      </c>
      <c r="HZT378" t="str">
        <f>"628669010033"</f>
        <v>628669010033</v>
      </c>
      <c r="HZU378" t="str">
        <f>"0419671"</f>
        <v>0419671</v>
      </c>
      <c r="HZV378" t="s">
        <v>199</v>
      </c>
      <c r="HZW378" t="s">
        <v>25</v>
      </c>
      <c r="HZX378">
        <v>24</v>
      </c>
      <c r="HZY378">
        <v>0.05</v>
      </c>
      <c r="HZZ378">
        <v>1</v>
      </c>
      <c r="IAA378" t="s">
        <v>531</v>
      </c>
      <c r="IAB378" t="str">
        <f>"628669010033"</f>
        <v>628669010033</v>
      </c>
      <c r="IAC378" t="str">
        <f>"0419671"</f>
        <v>0419671</v>
      </c>
      <c r="IAD378" t="s">
        <v>199</v>
      </c>
      <c r="IAE378" t="s">
        <v>25</v>
      </c>
      <c r="IAF378">
        <v>24</v>
      </c>
      <c r="IAG378">
        <v>0.05</v>
      </c>
      <c r="IAH378">
        <v>1</v>
      </c>
      <c r="IAI378" t="s">
        <v>531</v>
      </c>
      <c r="IAJ378" t="str">
        <f>"628669010033"</f>
        <v>628669010033</v>
      </c>
      <c r="IAK378" t="str">
        <f>"0419671"</f>
        <v>0419671</v>
      </c>
      <c r="IAL378" t="s">
        <v>199</v>
      </c>
      <c r="IAM378" t="s">
        <v>25</v>
      </c>
      <c r="IAN378">
        <v>24</v>
      </c>
      <c r="IAO378">
        <v>0.05</v>
      </c>
      <c r="IAP378">
        <v>1</v>
      </c>
      <c r="IAQ378" t="s">
        <v>531</v>
      </c>
      <c r="IAR378" t="str">
        <f>"628669010033"</f>
        <v>628669010033</v>
      </c>
      <c r="IAS378" t="str">
        <f>"0419671"</f>
        <v>0419671</v>
      </c>
      <c r="IAT378" t="s">
        <v>199</v>
      </c>
      <c r="IAU378" t="s">
        <v>25</v>
      </c>
      <c r="IAV378">
        <v>24</v>
      </c>
      <c r="IAW378">
        <v>0.05</v>
      </c>
      <c r="IAX378">
        <v>1</v>
      </c>
      <c r="IAY378" t="s">
        <v>531</v>
      </c>
      <c r="IAZ378" t="str">
        <f>"628669010033"</f>
        <v>628669010033</v>
      </c>
      <c r="IBA378" t="str">
        <f>"0419671"</f>
        <v>0419671</v>
      </c>
      <c r="IBB378" t="s">
        <v>199</v>
      </c>
      <c r="IBC378" t="s">
        <v>25</v>
      </c>
      <c r="IBD378">
        <v>24</v>
      </c>
      <c r="IBE378">
        <v>0.05</v>
      </c>
      <c r="IBF378">
        <v>1</v>
      </c>
      <c r="IBG378" t="s">
        <v>531</v>
      </c>
      <c r="IBH378" t="str">
        <f>"628669010033"</f>
        <v>628669010033</v>
      </c>
      <c r="IBI378" t="str">
        <f>"0419671"</f>
        <v>0419671</v>
      </c>
      <c r="IBJ378" t="s">
        <v>199</v>
      </c>
      <c r="IBK378" t="s">
        <v>25</v>
      </c>
      <c r="IBL378">
        <v>24</v>
      </c>
      <c r="IBM378">
        <v>0.05</v>
      </c>
      <c r="IBN378">
        <v>1</v>
      </c>
      <c r="IBO378" t="s">
        <v>531</v>
      </c>
      <c r="IBP378" t="str">
        <f>"628669010033"</f>
        <v>628669010033</v>
      </c>
      <c r="IBQ378" t="str">
        <f>"0419671"</f>
        <v>0419671</v>
      </c>
      <c r="IBR378" t="s">
        <v>199</v>
      </c>
      <c r="IBS378" t="s">
        <v>25</v>
      </c>
      <c r="IBT378">
        <v>24</v>
      </c>
      <c r="IBU378">
        <v>0.05</v>
      </c>
      <c r="IBV378">
        <v>1</v>
      </c>
      <c r="IBW378" t="s">
        <v>531</v>
      </c>
      <c r="IBX378" t="str">
        <f>"628669010033"</f>
        <v>628669010033</v>
      </c>
      <c r="IBY378" t="str">
        <f>"0419671"</f>
        <v>0419671</v>
      </c>
      <c r="IBZ378" t="s">
        <v>199</v>
      </c>
      <c r="ICA378" t="s">
        <v>25</v>
      </c>
      <c r="ICB378">
        <v>24</v>
      </c>
      <c r="ICC378">
        <v>0.05</v>
      </c>
      <c r="ICD378">
        <v>1</v>
      </c>
      <c r="ICE378" t="s">
        <v>531</v>
      </c>
      <c r="ICF378" t="str">
        <f>"628669010033"</f>
        <v>628669010033</v>
      </c>
      <c r="ICG378" t="str">
        <f>"0419671"</f>
        <v>0419671</v>
      </c>
      <c r="ICH378" t="s">
        <v>199</v>
      </c>
      <c r="ICI378" t="s">
        <v>25</v>
      </c>
      <c r="ICJ378">
        <v>24</v>
      </c>
      <c r="ICK378">
        <v>0.05</v>
      </c>
      <c r="ICL378">
        <v>1</v>
      </c>
      <c r="ICM378" t="s">
        <v>531</v>
      </c>
      <c r="ICN378" t="str">
        <f>"628669010033"</f>
        <v>628669010033</v>
      </c>
      <c r="ICO378" t="str">
        <f>"0419671"</f>
        <v>0419671</v>
      </c>
      <c r="ICP378" t="s">
        <v>199</v>
      </c>
      <c r="ICQ378" t="s">
        <v>25</v>
      </c>
      <c r="ICR378">
        <v>24</v>
      </c>
      <c r="ICS378">
        <v>0.05</v>
      </c>
      <c r="ICT378">
        <v>1</v>
      </c>
      <c r="ICU378" t="s">
        <v>531</v>
      </c>
      <c r="ICV378" t="str">
        <f>"628669010033"</f>
        <v>628669010033</v>
      </c>
      <c r="ICW378" t="str">
        <f>"0419671"</f>
        <v>0419671</v>
      </c>
      <c r="ICX378" t="s">
        <v>199</v>
      </c>
      <c r="ICY378" t="s">
        <v>25</v>
      </c>
      <c r="ICZ378">
        <v>24</v>
      </c>
      <c r="IDA378">
        <v>0.05</v>
      </c>
      <c r="IDB378">
        <v>1</v>
      </c>
      <c r="IDC378" t="s">
        <v>531</v>
      </c>
      <c r="IDD378" t="str">
        <f>"628669010033"</f>
        <v>628669010033</v>
      </c>
      <c r="IDE378" t="str">
        <f>"0419671"</f>
        <v>0419671</v>
      </c>
      <c r="IDF378" t="s">
        <v>199</v>
      </c>
      <c r="IDG378" t="s">
        <v>25</v>
      </c>
      <c r="IDH378">
        <v>24</v>
      </c>
      <c r="IDI378">
        <v>0.05</v>
      </c>
      <c r="IDJ378">
        <v>1</v>
      </c>
      <c r="IDK378" t="s">
        <v>531</v>
      </c>
      <c r="IDL378" t="str">
        <f>"628669010033"</f>
        <v>628669010033</v>
      </c>
      <c r="IDM378" t="str">
        <f>"0419671"</f>
        <v>0419671</v>
      </c>
      <c r="IDN378" t="s">
        <v>199</v>
      </c>
      <c r="IDO378" t="s">
        <v>25</v>
      </c>
      <c r="IDP378">
        <v>24</v>
      </c>
      <c r="IDQ378">
        <v>0.05</v>
      </c>
      <c r="IDR378">
        <v>1</v>
      </c>
      <c r="IDS378" t="s">
        <v>531</v>
      </c>
      <c r="IDT378" t="str">
        <f>"628669010033"</f>
        <v>628669010033</v>
      </c>
      <c r="IDU378" t="str">
        <f>"0419671"</f>
        <v>0419671</v>
      </c>
      <c r="IDV378" t="s">
        <v>199</v>
      </c>
      <c r="IDW378" t="s">
        <v>25</v>
      </c>
      <c r="IDX378">
        <v>24</v>
      </c>
      <c r="IDY378">
        <v>0.05</v>
      </c>
      <c r="IDZ378">
        <v>1</v>
      </c>
      <c r="IEA378" t="s">
        <v>531</v>
      </c>
      <c r="IEB378" t="str">
        <f>"628669010033"</f>
        <v>628669010033</v>
      </c>
      <c r="IEC378" t="str">
        <f>"0419671"</f>
        <v>0419671</v>
      </c>
      <c r="IED378" t="s">
        <v>199</v>
      </c>
      <c r="IEE378" t="s">
        <v>25</v>
      </c>
      <c r="IEF378">
        <v>24</v>
      </c>
      <c r="IEG378">
        <v>0.05</v>
      </c>
      <c r="IEH378">
        <v>1</v>
      </c>
      <c r="IEI378" t="s">
        <v>531</v>
      </c>
      <c r="IEJ378" t="str">
        <f>"628669010033"</f>
        <v>628669010033</v>
      </c>
      <c r="IEK378" t="str">
        <f>"0419671"</f>
        <v>0419671</v>
      </c>
      <c r="IEL378" t="s">
        <v>199</v>
      </c>
      <c r="IEM378" t="s">
        <v>25</v>
      </c>
      <c r="IEN378">
        <v>24</v>
      </c>
      <c r="IEO378">
        <v>0.05</v>
      </c>
      <c r="IEP378">
        <v>1</v>
      </c>
      <c r="IEQ378" t="s">
        <v>531</v>
      </c>
      <c r="IER378" t="str">
        <f>"628669010033"</f>
        <v>628669010033</v>
      </c>
      <c r="IES378" t="str">
        <f>"0419671"</f>
        <v>0419671</v>
      </c>
      <c r="IET378" t="s">
        <v>199</v>
      </c>
      <c r="IEU378" t="s">
        <v>25</v>
      </c>
      <c r="IEV378">
        <v>24</v>
      </c>
      <c r="IEW378">
        <v>0.05</v>
      </c>
      <c r="IEX378">
        <v>1</v>
      </c>
      <c r="IEY378" t="s">
        <v>531</v>
      </c>
      <c r="IEZ378" t="str">
        <f>"628669010033"</f>
        <v>628669010033</v>
      </c>
      <c r="IFA378" t="str">
        <f>"0419671"</f>
        <v>0419671</v>
      </c>
      <c r="IFB378" t="s">
        <v>199</v>
      </c>
      <c r="IFC378" t="s">
        <v>25</v>
      </c>
      <c r="IFD378">
        <v>24</v>
      </c>
      <c r="IFE378">
        <v>0.05</v>
      </c>
      <c r="IFF378">
        <v>1</v>
      </c>
      <c r="IFG378" t="s">
        <v>531</v>
      </c>
      <c r="IFH378" t="str">
        <f>"628669010033"</f>
        <v>628669010033</v>
      </c>
      <c r="IFI378" t="str">
        <f>"0419671"</f>
        <v>0419671</v>
      </c>
      <c r="IFJ378" t="s">
        <v>199</v>
      </c>
      <c r="IFK378" t="s">
        <v>25</v>
      </c>
      <c r="IFL378">
        <v>24</v>
      </c>
      <c r="IFM378">
        <v>0.05</v>
      </c>
      <c r="IFN378">
        <v>1</v>
      </c>
      <c r="IFO378" t="s">
        <v>531</v>
      </c>
      <c r="IFP378" t="str">
        <f>"628669010033"</f>
        <v>628669010033</v>
      </c>
      <c r="IFQ378" t="str">
        <f>"0419671"</f>
        <v>0419671</v>
      </c>
      <c r="IFR378" t="s">
        <v>199</v>
      </c>
      <c r="IFS378" t="s">
        <v>25</v>
      </c>
      <c r="IFT378">
        <v>24</v>
      </c>
      <c r="IFU378">
        <v>0.05</v>
      </c>
      <c r="IFV378">
        <v>1</v>
      </c>
      <c r="IFW378" t="s">
        <v>531</v>
      </c>
      <c r="IFX378" t="str">
        <f>"628669010033"</f>
        <v>628669010033</v>
      </c>
      <c r="IFY378" t="str">
        <f>"0419671"</f>
        <v>0419671</v>
      </c>
      <c r="IFZ378" t="s">
        <v>199</v>
      </c>
      <c r="IGA378" t="s">
        <v>25</v>
      </c>
      <c r="IGB378">
        <v>24</v>
      </c>
      <c r="IGC378">
        <v>0.05</v>
      </c>
      <c r="IGD378">
        <v>1</v>
      </c>
      <c r="IGE378" t="s">
        <v>531</v>
      </c>
      <c r="IGF378" t="str">
        <f>"628669010033"</f>
        <v>628669010033</v>
      </c>
      <c r="IGG378" t="str">
        <f>"0419671"</f>
        <v>0419671</v>
      </c>
      <c r="IGH378" t="s">
        <v>199</v>
      </c>
      <c r="IGI378" t="s">
        <v>25</v>
      </c>
      <c r="IGJ378">
        <v>24</v>
      </c>
      <c r="IGK378">
        <v>0.05</v>
      </c>
      <c r="IGL378">
        <v>1</v>
      </c>
      <c r="IGM378" t="s">
        <v>531</v>
      </c>
      <c r="IGN378" t="str">
        <f>"628669010033"</f>
        <v>628669010033</v>
      </c>
      <c r="IGO378" t="str">
        <f>"0419671"</f>
        <v>0419671</v>
      </c>
      <c r="IGP378" t="s">
        <v>199</v>
      </c>
      <c r="IGQ378" t="s">
        <v>25</v>
      </c>
      <c r="IGR378">
        <v>24</v>
      </c>
      <c r="IGS378">
        <v>0.05</v>
      </c>
      <c r="IGT378">
        <v>1</v>
      </c>
      <c r="IGU378" t="s">
        <v>531</v>
      </c>
      <c r="IGV378" t="str">
        <f>"628669010033"</f>
        <v>628669010033</v>
      </c>
      <c r="IGW378" t="str">
        <f>"0419671"</f>
        <v>0419671</v>
      </c>
      <c r="IGX378" t="s">
        <v>199</v>
      </c>
      <c r="IGY378" t="s">
        <v>25</v>
      </c>
      <c r="IGZ378">
        <v>24</v>
      </c>
      <c r="IHA378">
        <v>0.05</v>
      </c>
      <c r="IHB378">
        <v>1</v>
      </c>
      <c r="IHC378" t="s">
        <v>531</v>
      </c>
      <c r="IHD378" t="str">
        <f>"628669010033"</f>
        <v>628669010033</v>
      </c>
      <c r="IHE378" t="str">
        <f>"0419671"</f>
        <v>0419671</v>
      </c>
      <c r="IHF378" t="s">
        <v>199</v>
      </c>
      <c r="IHG378" t="s">
        <v>25</v>
      </c>
      <c r="IHH378">
        <v>24</v>
      </c>
      <c r="IHI378">
        <v>0.05</v>
      </c>
      <c r="IHJ378">
        <v>1</v>
      </c>
      <c r="IHK378" t="s">
        <v>531</v>
      </c>
      <c r="IHL378" t="str">
        <f>"628669010033"</f>
        <v>628669010033</v>
      </c>
      <c r="IHM378" t="str">
        <f>"0419671"</f>
        <v>0419671</v>
      </c>
      <c r="IHN378" t="s">
        <v>199</v>
      </c>
      <c r="IHO378" t="s">
        <v>25</v>
      </c>
      <c r="IHP378">
        <v>24</v>
      </c>
      <c r="IHQ378">
        <v>0.05</v>
      </c>
      <c r="IHR378">
        <v>1</v>
      </c>
      <c r="IHS378" t="s">
        <v>531</v>
      </c>
      <c r="IHT378" t="str">
        <f>"628669010033"</f>
        <v>628669010033</v>
      </c>
      <c r="IHU378" t="str">
        <f>"0419671"</f>
        <v>0419671</v>
      </c>
      <c r="IHV378" t="s">
        <v>199</v>
      </c>
      <c r="IHW378" t="s">
        <v>25</v>
      </c>
      <c r="IHX378">
        <v>24</v>
      </c>
      <c r="IHY378">
        <v>0.05</v>
      </c>
      <c r="IHZ378">
        <v>1</v>
      </c>
      <c r="IIA378" t="s">
        <v>531</v>
      </c>
      <c r="IIB378" t="str">
        <f>"628669010033"</f>
        <v>628669010033</v>
      </c>
      <c r="IIC378" t="str">
        <f>"0419671"</f>
        <v>0419671</v>
      </c>
      <c r="IID378" t="s">
        <v>199</v>
      </c>
      <c r="IIE378" t="s">
        <v>25</v>
      </c>
      <c r="IIF378">
        <v>24</v>
      </c>
      <c r="IIG378">
        <v>0.05</v>
      </c>
      <c r="IIH378">
        <v>1</v>
      </c>
      <c r="III378" t="s">
        <v>531</v>
      </c>
      <c r="IIJ378" t="str">
        <f>"628669010033"</f>
        <v>628669010033</v>
      </c>
      <c r="IIK378" t="str">
        <f>"0419671"</f>
        <v>0419671</v>
      </c>
      <c r="IIL378" t="s">
        <v>199</v>
      </c>
      <c r="IIM378" t="s">
        <v>25</v>
      </c>
      <c r="IIN378">
        <v>24</v>
      </c>
      <c r="IIO378">
        <v>0.05</v>
      </c>
      <c r="IIP378">
        <v>1</v>
      </c>
      <c r="IIQ378" t="s">
        <v>531</v>
      </c>
      <c r="IIR378" t="str">
        <f>"628669010033"</f>
        <v>628669010033</v>
      </c>
      <c r="IIS378" t="str">
        <f>"0419671"</f>
        <v>0419671</v>
      </c>
      <c r="IIT378" t="s">
        <v>199</v>
      </c>
      <c r="IIU378" t="s">
        <v>25</v>
      </c>
      <c r="IIV378">
        <v>24</v>
      </c>
      <c r="IIW378">
        <v>0.05</v>
      </c>
      <c r="IIX378">
        <v>1</v>
      </c>
      <c r="IIY378" t="s">
        <v>531</v>
      </c>
      <c r="IIZ378" t="str">
        <f>"628669010033"</f>
        <v>628669010033</v>
      </c>
      <c r="IJA378" t="str">
        <f>"0419671"</f>
        <v>0419671</v>
      </c>
      <c r="IJB378" t="s">
        <v>199</v>
      </c>
      <c r="IJC378" t="s">
        <v>25</v>
      </c>
      <c r="IJD378">
        <v>24</v>
      </c>
      <c r="IJE378">
        <v>0.05</v>
      </c>
      <c r="IJF378">
        <v>1</v>
      </c>
      <c r="IJG378" t="s">
        <v>531</v>
      </c>
      <c r="IJH378" t="str">
        <f>"628669010033"</f>
        <v>628669010033</v>
      </c>
      <c r="IJI378" t="str">
        <f>"0419671"</f>
        <v>0419671</v>
      </c>
      <c r="IJJ378" t="s">
        <v>199</v>
      </c>
      <c r="IJK378" t="s">
        <v>25</v>
      </c>
      <c r="IJL378">
        <v>24</v>
      </c>
      <c r="IJM378">
        <v>0.05</v>
      </c>
      <c r="IJN378">
        <v>1</v>
      </c>
      <c r="IJO378" t="s">
        <v>531</v>
      </c>
      <c r="IJP378" t="str">
        <f>"628669010033"</f>
        <v>628669010033</v>
      </c>
      <c r="IJQ378" t="str">
        <f>"0419671"</f>
        <v>0419671</v>
      </c>
      <c r="IJR378" t="s">
        <v>199</v>
      </c>
      <c r="IJS378" t="s">
        <v>25</v>
      </c>
      <c r="IJT378">
        <v>24</v>
      </c>
      <c r="IJU378">
        <v>0.05</v>
      </c>
      <c r="IJV378">
        <v>1</v>
      </c>
      <c r="IJW378" t="s">
        <v>531</v>
      </c>
      <c r="IJX378" t="str">
        <f>"628669010033"</f>
        <v>628669010033</v>
      </c>
      <c r="IJY378" t="str">
        <f>"0419671"</f>
        <v>0419671</v>
      </c>
      <c r="IJZ378" t="s">
        <v>199</v>
      </c>
      <c r="IKA378" t="s">
        <v>25</v>
      </c>
      <c r="IKB378">
        <v>24</v>
      </c>
      <c r="IKC378">
        <v>0.05</v>
      </c>
      <c r="IKD378">
        <v>1</v>
      </c>
      <c r="IKE378" t="s">
        <v>531</v>
      </c>
      <c r="IKF378" t="str">
        <f>"628669010033"</f>
        <v>628669010033</v>
      </c>
      <c r="IKG378" t="str">
        <f>"0419671"</f>
        <v>0419671</v>
      </c>
      <c r="IKH378" t="s">
        <v>199</v>
      </c>
      <c r="IKI378" t="s">
        <v>25</v>
      </c>
      <c r="IKJ378">
        <v>24</v>
      </c>
      <c r="IKK378">
        <v>0.05</v>
      </c>
      <c r="IKL378">
        <v>1</v>
      </c>
      <c r="IKM378" t="s">
        <v>531</v>
      </c>
      <c r="IKN378" t="str">
        <f>"628669010033"</f>
        <v>628669010033</v>
      </c>
      <c r="IKO378" t="str">
        <f>"0419671"</f>
        <v>0419671</v>
      </c>
      <c r="IKP378" t="s">
        <v>199</v>
      </c>
      <c r="IKQ378" t="s">
        <v>25</v>
      </c>
      <c r="IKR378">
        <v>24</v>
      </c>
      <c r="IKS378">
        <v>0.05</v>
      </c>
      <c r="IKT378">
        <v>1</v>
      </c>
      <c r="IKU378" t="s">
        <v>531</v>
      </c>
      <c r="IKV378" t="str">
        <f>"628669010033"</f>
        <v>628669010033</v>
      </c>
      <c r="IKW378" t="str">
        <f>"0419671"</f>
        <v>0419671</v>
      </c>
      <c r="IKX378" t="s">
        <v>199</v>
      </c>
      <c r="IKY378" t="s">
        <v>25</v>
      </c>
      <c r="IKZ378">
        <v>24</v>
      </c>
      <c r="ILA378">
        <v>0.05</v>
      </c>
      <c r="ILB378">
        <v>1</v>
      </c>
      <c r="ILC378" t="s">
        <v>531</v>
      </c>
      <c r="ILD378" t="str">
        <f>"628669010033"</f>
        <v>628669010033</v>
      </c>
      <c r="ILE378" t="str">
        <f>"0419671"</f>
        <v>0419671</v>
      </c>
      <c r="ILF378" t="s">
        <v>199</v>
      </c>
      <c r="ILG378" t="s">
        <v>25</v>
      </c>
      <c r="ILH378">
        <v>24</v>
      </c>
      <c r="ILI378">
        <v>0.05</v>
      </c>
      <c r="ILJ378">
        <v>1</v>
      </c>
      <c r="ILK378" t="s">
        <v>531</v>
      </c>
      <c r="ILL378" t="str">
        <f>"628669010033"</f>
        <v>628669010033</v>
      </c>
      <c r="ILM378" t="str">
        <f>"0419671"</f>
        <v>0419671</v>
      </c>
      <c r="ILN378" t="s">
        <v>199</v>
      </c>
      <c r="ILO378" t="s">
        <v>25</v>
      </c>
      <c r="ILP378">
        <v>24</v>
      </c>
      <c r="ILQ378">
        <v>0.05</v>
      </c>
      <c r="ILR378">
        <v>1</v>
      </c>
      <c r="ILS378" t="s">
        <v>531</v>
      </c>
      <c r="ILT378" t="str">
        <f>"628669010033"</f>
        <v>628669010033</v>
      </c>
      <c r="ILU378" t="str">
        <f>"0419671"</f>
        <v>0419671</v>
      </c>
      <c r="ILV378" t="s">
        <v>199</v>
      </c>
      <c r="ILW378" t="s">
        <v>25</v>
      </c>
      <c r="ILX378">
        <v>24</v>
      </c>
      <c r="ILY378">
        <v>0.05</v>
      </c>
      <c r="ILZ378">
        <v>1</v>
      </c>
      <c r="IMA378" t="s">
        <v>531</v>
      </c>
      <c r="IMB378" t="str">
        <f>"628669010033"</f>
        <v>628669010033</v>
      </c>
      <c r="IMC378" t="str">
        <f>"0419671"</f>
        <v>0419671</v>
      </c>
      <c r="IMD378" t="s">
        <v>199</v>
      </c>
      <c r="IME378" t="s">
        <v>25</v>
      </c>
      <c r="IMF378">
        <v>24</v>
      </c>
      <c r="IMG378">
        <v>0.05</v>
      </c>
      <c r="IMH378">
        <v>1</v>
      </c>
      <c r="IMI378" t="s">
        <v>531</v>
      </c>
      <c r="IMJ378" t="str">
        <f>"628669010033"</f>
        <v>628669010033</v>
      </c>
      <c r="IMK378" t="str">
        <f>"0419671"</f>
        <v>0419671</v>
      </c>
      <c r="IML378" t="s">
        <v>199</v>
      </c>
      <c r="IMM378" t="s">
        <v>25</v>
      </c>
      <c r="IMN378">
        <v>24</v>
      </c>
      <c r="IMO378">
        <v>0.05</v>
      </c>
      <c r="IMP378">
        <v>1</v>
      </c>
      <c r="IMQ378" t="s">
        <v>531</v>
      </c>
      <c r="IMR378" t="str">
        <f>"628669010033"</f>
        <v>628669010033</v>
      </c>
      <c r="IMS378" t="str">
        <f>"0419671"</f>
        <v>0419671</v>
      </c>
      <c r="IMT378" t="s">
        <v>199</v>
      </c>
      <c r="IMU378" t="s">
        <v>25</v>
      </c>
      <c r="IMV378">
        <v>24</v>
      </c>
      <c r="IMW378">
        <v>0.05</v>
      </c>
      <c r="IMX378">
        <v>1</v>
      </c>
      <c r="IMY378" t="s">
        <v>531</v>
      </c>
      <c r="IMZ378" t="str">
        <f>"628669010033"</f>
        <v>628669010033</v>
      </c>
      <c r="INA378" t="str">
        <f>"0419671"</f>
        <v>0419671</v>
      </c>
      <c r="INB378" t="s">
        <v>199</v>
      </c>
      <c r="INC378" t="s">
        <v>25</v>
      </c>
      <c r="IND378">
        <v>24</v>
      </c>
      <c r="INE378">
        <v>0.05</v>
      </c>
      <c r="INF378">
        <v>1</v>
      </c>
      <c r="ING378" t="s">
        <v>531</v>
      </c>
      <c r="INH378" t="str">
        <f>"628669010033"</f>
        <v>628669010033</v>
      </c>
      <c r="INI378" t="str">
        <f>"0419671"</f>
        <v>0419671</v>
      </c>
      <c r="INJ378" t="s">
        <v>199</v>
      </c>
      <c r="INK378" t="s">
        <v>25</v>
      </c>
      <c r="INL378">
        <v>24</v>
      </c>
      <c r="INM378">
        <v>0.05</v>
      </c>
      <c r="INN378">
        <v>1</v>
      </c>
      <c r="INO378" t="s">
        <v>531</v>
      </c>
      <c r="INP378" t="str">
        <f>"628669010033"</f>
        <v>628669010033</v>
      </c>
      <c r="INQ378" t="str">
        <f>"0419671"</f>
        <v>0419671</v>
      </c>
      <c r="INR378" t="s">
        <v>199</v>
      </c>
      <c r="INS378" t="s">
        <v>25</v>
      </c>
      <c r="INT378">
        <v>24</v>
      </c>
      <c r="INU378">
        <v>0.05</v>
      </c>
      <c r="INV378">
        <v>1</v>
      </c>
      <c r="INW378" t="s">
        <v>531</v>
      </c>
      <c r="INX378" t="str">
        <f>"628669010033"</f>
        <v>628669010033</v>
      </c>
      <c r="INY378" t="str">
        <f>"0419671"</f>
        <v>0419671</v>
      </c>
      <c r="INZ378" t="s">
        <v>199</v>
      </c>
      <c r="IOA378" t="s">
        <v>25</v>
      </c>
      <c r="IOB378">
        <v>24</v>
      </c>
      <c r="IOC378">
        <v>0.05</v>
      </c>
      <c r="IOD378">
        <v>1</v>
      </c>
      <c r="IOE378" t="s">
        <v>531</v>
      </c>
      <c r="IOF378" t="str">
        <f>"628669010033"</f>
        <v>628669010033</v>
      </c>
      <c r="IOG378" t="str">
        <f>"0419671"</f>
        <v>0419671</v>
      </c>
      <c r="IOH378" t="s">
        <v>199</v>
      </c>
      <c r="IOI378" t="s">
        <v>25</v>
      </c>
      <c r="IOJ378">
        <v>24</v>
      </c>
      <c r="IOK378">
        <v>0.05</v>
      </c>
      <c r="IOL378">
        <v>1</v>
      </c>
      <c r="IOM378" t="s">
        <v>531</v>
      </c>
      <c r="ION378" t="str">
        <f>"628669010033"</f>
        <v>628669010033</v>
      </c>
      <c r="IOO378" t="str">
        <f>"0419671"</f>
        <v>0419671</v>
      </c>
      <c r="IOP378" t="s">
        <v>199</v>
      </c>
      <c r="IOQ378" t="s">
        <v>25</v>
      </c>
      <c r="IOR378">
        <v>24</v>
      </c>
      <c r="IOS378">
        <v>0.05</v>
      </c>
      <c r="IOT378">
        <v>1</v>
      </c>
      <c r="IOU378" t="s">
        <v>531</v>
      </c>
      <c r="IOV378" t="str">
        <f>"628669010033"</f>
        <v>628669010033</v>
      </c>
      <c r="IOW378" t="str">
        <f>"0419671"</f>
        <v>0419671</v>
      </c>
      <c r="IOX378" t="s">
        <v>199</v>
      </c>
      <c r="IOY378" t="s">
        <v>25</v>
      </c>
      <c r="IOZ378">
        <v>24</v>
      </c>
      <c r="IPA378">
        <v>0.05</v>
      </c>
      <c r="IPB378">
        <v>1</v>
      </c>
      <c r="IPC378" t="s">
        <v>531</v>
      </c>
      <c r="IPD378" t="str">
        <f>"628669010033"</f>
        <v>628669010033</v>
      </c>
      <c r="IPE378" t="str">
        <f>"0419671"</f>
        <v>0419671</v>
      </c>
      <c r="IPF378" t="s">
        <v>199</v>
      </c>
      <c r="IPG378" t="s">
        <v>25</v>
      </c>
      <c r="IPH378">
        <v>24</v>
      </c>
      <c r="IPI378">
        <v>0.05</v>
      </c>
      <c r="IPJ378">
        <v>1</v>
      </c>
      <c r="IPK378" t="s">
        <v>531</v>
      </c>
      <c r="IPL378" t="str">
        <f>"628669010033"</f>
        <v>628669010033</v>
      </c>
      <c r="IPM378" t="str">
        <f>"0419671"</f>
        <v>0419671</v>
      </c>
      <c r="IPN378" t="s">
        <v>199</v>
      </c>
      <c r="IPO378" t="s">
        <v>25</v>
      </c>
      <c r="IPP378">
        <v>24</v>
      </c>
      <c r="IPQ378">
        <v>0.05</v>
      </c>
      <c r="IPR378">
        <v>1</v>
      </c>
      <c r="IPS378" t="s">
        <v>531</v>
      </c>
      <c r="IPT378" t="str">
        <f>"628669010033"</f>
        <v>628669010033</v>
      </c>
      <c r="IPU378" t="str">
        <f>"0419671"</f>
        <v>0419671</v>
      </c>
      <c r="IPV378" t="s">
        <v>199</v>
      </c>
      <c r="IPW378" t="s">
        <v>25</v>
      </c>
      <c r="IPX378">
        <v>24</v>
      </c>
      <c r="IPY378">
        <v>0.05</v>
      </c>
      <c r="IPZ378">
        <v>1</v>
      </c>
      <c r="IQA378" t="s">
        <v>531</v>
      </c>
      <c r="IQB378" t="str">
        <f>"628669010033"</f>
        <v>628669010033</v>
      </c>
      <c r="IQC378" t="str">
        <f>"0419671"</f>
        <v>0419671</v>
      </c>
      <c r="IQD378" t="s">
        <v>199</v>
      </c>
      <c r="IQE378" t="s">
        <v>25</v>
      </c>
      <c r="IQF378">
        <v>24</v>
      </c>
      <c r="IQG378">
        <v>0.05</v>
      </c>
      <c r="IQH378">
        <v>1</v>
      </c>
      <c r="IQI378" t="s">
        <v>531</v>
      </c>
      <c r="IQJ378" t="str">
        <f>"628669010033"</f>
        <v>628669010033</v>
      </c>
      <c r="IQK378" t="str">
        <f>"0419671"</f>
        <v>0419671</v>
      </c>
      <c r="IQL378" t="s">
        <v>199</v>
      </c>
      <c r="IQM378" t="s">
        <v>25</v>
      </c>
      <c r="IQN378">
        <v>24</v>
      </c>
      <c r="IQO378">
        <v>0.05</v>
      </c>
      <c r="IQP378">
        <v>1</v>
      </c>
      <c r="IQQ378" t="s">
        <v>531</v>
      </c>
      <c r="IQR378" t="str">
        <f>"628669010033"</f>
        <v>628669010033</v>
      </c>
      <c r="IQS378" t="str">
        <f>"0419671"</f>
        <v>0419671</v>
      </c>
      <c r="IQT378" t="s">
        <v>199</v>
      </c>
      <c r="IQU378" t="s">
        <v>25</v>
      </c>
      <c r="IQV378">
        <v>24</v>
      </c>
      <c r="IQW378">
        <v>0.05</v>
      </c>
      <c r="IQX378">
        <v>1</v>
      </c>
      <c r="IQY378" t="s">
        <v>531</v>
      </c>
      <c r="IQZ378" t="str">
        <f>"628669010033"</f>
        <v>628669010033</v>
      </c>
      <c r="IRA378" t="str">
        <f>"0419671"</f>
        <v>0419671</v>
      </c>
      <c r="IRB378" t="s">
        <v>199</v>
      </c>
      <c r="IRC378" t="s">
        <v>25</v>
      </c>
      <c r="IRD378">
        <v>24</v>
      </c>
      <c r="IRE378">
        <v>0.05</v>
      </c>
      <c r="IRF378">
        <v>1</v>
      </c>
      <c r="IRG378" t="s">
        <v>531</v>
      </c>
      <c r="IRH378" t="str">
        <f>"628669010033"</f>
        <v>628669010033</v>
      </c>
      <c r="IRI378" t="str">
        <f>"0419671"</f>
        <v>0419671</v>
      </c>
      <c r="IRJ378" t="s">
        <v>199</v>
      </c>
      <c r="IRK378" t="s">
        <v>25</v>
      </c>
      <c r="IRL378">
        <v>24</v>
      </c>
      <c r="IRM378">
        <v>0.05</v>
      </c>
      <c r="IRN378">
        <v>1</v>
      </c>
      <c r="IRO378" t="s">
        <v>531</v>
      </c>
      <c r="IRP378" t="str">
        <f>"628669010033"</f>
        <v>628669010033</v>
      </c>
      <c r="IRQ378" t="str">
        <f>"0419671"</f>
        <v>0419671</v>
      </c>
      <c r="IRR378" t="s">
        <v>199</v>
      </c>
      <c r="IRS378" t="s">
        <v>25</v>
      </c>
      <c r="IRT378">
        <v>24</v>
      </c>
      <c r="IRU378">
        <v>0.05</v>
      </c>
      <c r="IRV378">
        <v>1</v>
      </c>
      <c r="IRW378" t="s">
        <v>531</v>
      </c>
      <c r="IRX378" t="str">
        <f>"628669010033"</f>
        <v>628669010033</v>
      </c>
      <c r="IRY378" t="str">
        <f>"0419671"</f>
        <v>0419671</v>
      </c>
      <c r="IRZ378" t="s">
        <v>199</v>
      </c>
      <c r="ISA378" t="s">
        <v>25</v>
      </c>
      <c r="ISB378">
        <v>24</v>
      </c>
      <c r="ISC378">
        <v>0.05</v>
      </c>
      <c r="ISD378">
        <v>1</v>
      </c>
      <c r="ISE378" t="s">
        <v>531</v>
      </c>
      <c r="ISF378" t="str">
        <f>"628669010033"</f>
        <v>628669010033</v>
      </c>
      <c r="ISG378" t="str">
        <f>"0419671"</f>
        <v>0419671</v>
      </c>
      <c r="ISH378" t="s">
        <v>199</v>
      </c>
      <c r="ISI378" t="s">
        <v>25</v>
      </c>
      <c r="ISJ378">
        <v>24</v>
      </c>
      <c r="ISK378">
        <v>0.05</v>
      </c>
      <c r="ISL378">
        <v>1</v>
      </c>
      <c r="ISM378" t="s">
        <v>531</v>
      </c>
      <c r="ISN378" t="str">
        <f>"628669010033"</f>
        <v>628669010033</v>
      </c>
      <c r="ISO378" t="str">
        <f>"0419671"</f>
        <v>0419671</v>
      </c>
      <c r="ISP378" t="s">
        <v>199</v>
      </c>
      <c r="ISQ378" t="s">
        <v>25</v>
      </c>
      <c r="ISR378">
        <v>24</v>
      </c>
      <c r="ISS378">
        <v>0.05</v>
      </c>
      <c r="IST378">
        <v>1</v>
      </c>
      <c r="ISU378" t="s">
        <v>531</v>
      </c>
      <c r="ISV378" t="str">
        <f>"628669010033"</f>
        <v>628669010033</v>
      </c>
      <c r="ISW378" t="str">
        <f>"0419671"</f>
        <v>0419671</v>
      </c>
      <c r="ISX378" t="s">
        <v>199</v>
      </c>
      <c r="ISY378" t="s">
        <v>25</v>
      </c>
      <c r="ISZ378">
        <v>24</v>
      </c>
      <c r="ITA378">
        <v>0.05</v>
      </c>
      <c r="ITB378">
        <v>1</v>
      </c>
      <c r="ITC378" t="s">
        <v>531</v>
      </c>
      <c r="ITD378" t="str">
        <f>"628669010033"</f>
        <v>628669010033</v>
      </c>
      <c r="ITE378" t="str">
        <f>"0419671"</f>
        <v>0419671</v>
      </c>
      <c r="ITF378" t="s">
        <v>199</v>
      </c>
      <c r="ITG378" t="s">
        <v>25</v>
      </c>
      <c r="ITH378">
        <v>24</v>
      </c>
      <c r="ITI378">
        <v>0.05</v>
      </c>
      <c r="ITJ378">
        <v>1</v>
      </c>
      <c r="ITK378" t="s">
        <v>531</v>
      </c>
      <c r="ITL378" t="str">
        <f>"628669010033"</f>
        <v>628669010033</v>
      </c>
      <c r="ITM378" t="str">
        <f>"0419671"</f>
        <v>0419671</v>
      </c>
      <c r="ITN378" t="s">
        <v>199</v>
      </c>
      <c r="ITO378" t="s">
        <v>25</v>
      </c>
      <c r="ITP378">
        <v>24</v>
      </c>
      <c r="ITQ378">
        <v>0.05</v>
      </c>
      <c r="ITR378">
        <v>1</v>
      </c>
      <c r="ITS378" t="s">
        <v>531</v>
      </c>
      <c r="ITT378" t="str">
        <f>"628669010033"</f>
        <v>628669010033</v>
      </c>
      <c r="ITU378" t="str">
        <f>"0419671"</f>
        <v>0419671</v>
      </c>
      <c r="ITV378" t="s">
        <v>199</v>
      </c>
      <c r="ITW378" t="s">
        <v>25</v>
      </c>
      <c r="ITX378">
        <v>24</v>
      </c>
      <c r="ITY378">
        <v>0.05</v>
      </c>
      <c r="ITZ378">
        <v>1</v>
      </c>
      <c r="IUA378" t="s">
        <v>531</v>
      </c>
      <c r="IUB378" t="str">
        <f>"628669010033"</f>
        <v>628669010033</v>
      </c>
      <c r="IUC378" t="str">
        <f>"0419671"</f>
        <v>0419671</v>
      </c>
      <c r="IUD378" t="s">
        <v>199</v>
      </c>
      <c r="IUE378" t="s">
        <v>25</v>
      </c>
      <c r="IUF378">
        <v>24</v>
      </c>
      <c r="IUG378">
        <v>0.05</v>
      </c>
      <c r="IUH378">
        <v>1</v>
      </c>
      <c r="IUI378" t="s">
        <v>531</v>
      </c>
      <c r="IUJ378" t="str">
        <f>"628669010033"</f>
        <v>628669010033</v>
      </c>
      <c r="IUK378" t="str">
        <f>"0419671"</f>
        <v>0419671</v>
      </c>
      <c r="IUL378" t="s">
        <v>199</v>
      </c>
      <c r="IUM378" t="s">
        <v>25</v>
      </c>
      <c r="IUN378">
        <v>24</v>
      </c>
      <c r="IUO378">
        <v>0.05</v>
      </c>
      <c r="IUP378">
        <v>1</v>
      </c>
      <c r="IUQ378" t="s">
        <v>531</v>
      </c>
      <c r="IUR378" t="str">
        <f>"628669010033"</f>
        <v>628669010033</v>
      </c>
      <c r="IUS378" t="str">
        <f>"0419671"</f>
        <v>0419671</v>
      </c>
      <c r="IUT378" t="s">
        <v>199</v>
      </c>
      <c r="IUU378" t="s">
        <v>25</v>
      </c>
      <c r="IUV378">
        <v>24</v>
      </c>
      <c r="IUW378">
        <v>0.05</v>
      </c>
      <c r="IUX378">
        <v>1</v>
      </c>
      <c r="IUY378" t="s">
        <v>531</v>
      </c>
      <c r="IUZ378" t="str">
        <f>"628669010033"</f>
        <v>628669010033</v>
      </c>
      <c r="IVA378" t="str">
        <f>"0419671"</f>
        <v>0419671</v>
      </c>
      <c r="IVB378" t="s">
        <v>199</v>
      </c>
      <c r="IVC378" t="s">
        <v>25</v>
      </c>
      <c r="IVD378">
        <v>24</v>
      </c>
      <c r="IVE378">
        <v>0.05</v>
      </c>
      <c r="IVF378">
        <v>1</v>
      </c>
      <c r="IVG378" t="s">
        <v>531</v>
      </c>
      <c r="IVH378" t="str">
        <f>"628669010033"</f>
        <v>628669010033</v>
      </c>
      <c r="IVI378" t="str">
        <f>"0419671"</f>
        <v>0419671</v>
      </c>
      <c r="IVJ378" t="s">
        <v>199</v>
      </c>
      <c r="IVK378" t="s">
        <v>25</v>
      </c>
      <c r="IVL378">
        <v>24</v>
      </c>
      <c r="IVM378">
        <v>0.05</v>
      </c>
      <c r="IVN378">
        <v>1</v>
      </c>
      <c r="IVO378" t="s">
        <v>531</v>
      </c>
      <c r="IVP378" t="str">
        <f>"628669010033"</f>
        <v>628669010033</v>
      </c>
      <c r="IVQ378" t="str">
        <f>"0419671"</f>
        <v>0419671</v>
      </c>
      <c r="IVR378" t="s">
        <v>199</v>
      </c>
      <c r="IVS378" t="s">
        <v>25</v>
      </c>
      <c r="IVT378">
        <v>24</v>
      </c>
      <c r="IVU378">
        <v>0.05</v>
      </c>
      <c r="IVV378">
        <v>1</v>
      </c>
      <c r="IVW378" t="s">
        <v>531</v>
      </c>
      <c r="IVX378" t="str">
        <f>"628669010033"</f>
        <v>628669010033</v>
      </c>
      <c r="IVY378" t="str">
        <f>"0419671"</f>
        <v>0419671</v>
      </c>
      <c r="IVZ378" t="s">
        <v>199</v>
      </c>
      <c r="IWA378" t="s">
        <v>25</v>
      </c>
      <c r="IWB378">
        <v>24</v>
      </c>
      <c r="IWC378">
        <v>0.05</v>
      </c>
      <c r="IWD378">
        <v>1</v>
      </c>
      <c r="IWE378" t="s">
        <v>531</v>
      </c>
      <c r="IWF378" t="str">
        <f>"628669010033"</f>
        <v>628669010033</v>
      </c>
      <c r="IWG378" t="str">
        <f>"0419671"</f>
        <v>0419671</v>
      </c>
      <c r="IWH378" t="s">
        <v>199</v>
      </c>
      <c r="IWI378" t="s">
        <v>25</v>
      </c>
      <c r="IWJ378">
        <v>24</v>
      </c>
      <c r="IWK378">
        <v>0.05</v>
      </c>
      <c r="IWL378">
        <v>1</v>
      </c>
      <c r="IWM378" t="s">
        <v>531</v>
      </c>
      <c r="IWN378" t="str">
        <f>"628669010033"</f>
        <v>628669010033</v>
      </c>
      <c r="IWO378" t="str">
        <f>"0419671"</f>
        <v>0419671</v>
      </c>
      <c r="IWP378" t="s">
        <v>199</v>
      </c>
      <c r="IWQ378" t="s">
        <v>25</v>
      </c>
      <c r="IWR378">
        <v>24</v>
      </c>
      <c r="IWS378">
        <v>0.05</v>
      </c>
      <c r="IWT378">
        <v>1</v>
      </c>
      <c r="IWU378" t="s">
        <v>531</v>
      </c>
      <c r="IWV378" t="str">
        <f>"628669010033"</f>
        <v>628669010033</v>
      </c>
      <c r="IWW378" t="str">
        <f>"0419671"</f>
        <v>0419671</v>
      </c>
      <c r="IWX378" t="s">
        <v>199</v>
      </c>
      <c r="IWY378" t="s">
        <v>25</v>
      </c>
      <c r="IWZ378">
        <v>24</v>
      </c>
      <c r="IXA378">
        <v>0.05</v>
      </c>
      <c r="IXB378">
        <v>1</v>
      </c>
      <c r="IXC378" t="s">
        <v>531</v>
      </c>
      <c r="IXD378" t="str">
        <f>"628669010033"</f>
        <v>628669010033</v>
      </c>
      <c r="IXE378" t="str">
        <f>"0419671"</f>
        <v>0419671</v>
      </c>
      <c r="IXF378" t="s">
        <v>199</v>
      </c>
      <c r="IXG378" t="s">
        <v>25</v>
      </c>
      <c r="IXH378">
        <v>24</v>
      </c>
      <c r="IXI378">
        <v>0.05</v>
      </c>
      <c r="IXJ378">
        <v>1</v>
      </c>
      <c r="IXK378" t="s">
        <v>531</v>
      </c>
      <c r="IXL378" t="str">
        <f>"628669010033"</f>
        <v>628669010033</v>
      </c>
      <c r="IXM378" t="str">
        <f>"0419671"</f>
        <v>0419671</v>
      </c>
      <c r="IXN378" t="s">
        <v>199</v>
      </c>
      <c r="IXO378" t="s">
        <v>25</v>
      </c>
      <c r="IXP378">
        <v>24</v>
      </c>
      <c r="IXQ378">
        <v>0.05</v>
      </c>
      <c r="IXR378">
        <v>1</v>
      </c>
      <c r="IXS378" t="s">
        <v>531</v>
      </c>
      <c r="IXT378" t="str">
        <f>"628669010033"</f>
        <v>628669010033</v>
      </c>
      <c r="IXU378" t="str">
        <f>"0419671"</f>
        <v>0419671</v>
      </c>
      <c r="IXV378" t="s">
        <v>199</v>
      </c>
      <c r="IXW378" t="s">
        <v>25</v>
      </c>
      <c r="IXX378">
        <v>24</v>
      </c>
      <c r="IXY378">
        <v>0.05</v>
      </c>
      <c r="IXZ378">
        <v>1</v>
      </c>
      <c r="IYA378" t="s">
        <v>531</v>
      </c>
      <c r="IYB378" t="str">
        <f>"628669010033"</f>
        <v>628669010033</v>
      </c>
      <c r="IYC378" t="str">
        <f>"0419671"</f>
        <v>0419671</v>
      </c>
      <c r="IYD378" t="s">
        <v>199</v>
      </c>
      <c r="IYE378" t="s">
        <v>25</v>
      </c>
      <c r="IYF378">
        <v>24</v>
      </c>
      <c r="IYG378">
        <v>0.05</v>
      </c>
      <c r="IYH378">
        <v>1</v>
      </c>
      <c r="IYI378" t="s">
        <v>531</v>
      </c>
      <c r="IYJ378" t="str">
        <f>"628669010033"</f>
        <v>628669010033</v>
      </c>
      <c r="IYK378" t="str">
        <f>"0419671"</f>
        <v>0419671</v>
      </c>
      <c r="IYL378" t="s">
        <v>199</v>
      </c>
      <c r="IYM378" t="s">
        <v>25</v>
      </c>
      <c r="IYN378">
        <v>24</v>
      </c>
      <c r="IYO378">
        <v>0.05</v>
      </c>
      <c r="IYP378">
        <v>1</v>
      </c>
      <c r="IYQ378" t="s">
        <v>531</v>
      </c>
      <c r="IYR378" t="str">
        <f>"628669010033"</f>
        <v>628669010033</v>
      </c>
      <c r="IYS378" t="str">
        <f>"0419671"</f>
        <v>0419671</v>
      </c>
      <c r="IYT378" t="s">
        <v>199</v>
      </c>
      <c r="IYU378" t="s">
        <v>25</v>
      </c>
      <c r="IYV378">
        <v>24</v>
      </c>
      <c r="IYW378">
        <v>0.05</v>
      </c>
      <c r="IYX378">
        <v>1</v>
      </c>
      <c r="IYY378" t="s">
        <v>531</v>
      </c>
      <c r="IYZ378" t="str">
        <f>"628669010033"</f>
        <v>628669010033</v>
      </c>
      <c r="IZA378" t="str">
        <f>"0419671"</f>
        <v>0419671</v>
      </c>
      <c r="IZB378" t="s">
        <v>199</v>
      </c>
      <c r="IZC378" t="s">
        <v>25</v>
      </c>
      <c r="IZD378">
        <v>24</v>
      </c>
      <c r="IZE378">
        <v>0.05</v>
      </c>
      <c r="IZF378">
        <v>1</v>
      </c>
      <c r="IZG378" t="s">
        <v>531</v>
      </c>
      <c r="IZH378" t="str">
        <f>"628669010033"</f>
        <v>628669010033</v>
      </c>
      <c r="IZI378" t="str">
        <f>"0419671"</f>
        <v>0419671</v>
      </c>
      <c r="IZJ378" t="s">
        <v>199</v>
      </c>
      <c r="IZK378" t="s">
        <v>25</v>
      </c>
      <c r="IZL378">
        <v>24</v>
      </c>
      <c r="IZM378">
        <v>0.05</v>
      </c>
      <c r="IZN378">
        <v>1</v>
      </c>
      <c r="IZO378" t="s">
        <v>531</v>
      </c>
      <c r="IZP378" t="str">
        <f>"628669010033"</f>
        <v>628669010033</v>
      </c>
      <c r="IZQ378" t="str">
        <f>"0419671"</f>
        <v>0419671</v>
      </c>
      <c r="IZR378" t="s">
        <v>199</v>
      </c>
      <c r="IZS378" t="s">
        <v>25</v>
      </c>
      <c r="IZT378">
        <v>24</v>
      </c>
      <c r="IZU378">
        <v>0.05</v>
      </c>
      <c r="IZV378">
        <v>1</v>
      </c>
      <c r="IZW378" t="s">
        <v>531</v>
      </c>
      <c r="IZX378" t="str">
        <f>"628669010033"</f>
        <v>628669010033</v>
      </c>
      <c r="IZY378" t="str">
        <f>"0419671"</f>
        <v>0419671</v>
      </c>
      <c r="IZZ378" t="s">
        <v>199</v>
      </c>
      <c r="JAA378" t="s">
        <v>25</v>
      </c>
      <c r="JAB378">
        <v>24</v>
      </c>
      <c r="JAC378">
        <v>0.05</v>
      </c>
      <c r="JAD378">
        <v>1</v>
      </c>
      <c r="JAE378" t="s">
        <v>531</v>
      </c>
      <c r="JAF378" t="str">
        <f>"628669010033"</f>
        <v>628669010033</v>
      </c>
      <c r="JAG378" t="str">
        <f>"0419671"</f>
        <v>0419671</v>
      </c>
      <c r="JAH378" t="s">
        <v>199</v>
      </c>
      <c r="JAI378" t="s">
        <v>25</v>
      </c>
      <c r="JAJ378">
        <v>24</v>
      </c>
      <c r="JAK378">
        <v>0.05</v>
      </c>
      <c r="JAL378">
        <v>1</v>
      </c>
      <c r="JAM378" t="s">
        <v>531</v>
      </c>
      <c r="JAN378" t="str">
        <f>"628669010033"</f>
        <v>628669010033</v>
      </c>
      <c r="JAO378" t="str">
        <f>"0419671"</f>
        <v>0419671</v>
      </c>
      <c r="JAP378" t="s">
        <v>199</v>
      </c>
      <c r="JAQ378" t="s">
        <v>25</v>
      </c>
      <c r="JAR378">
        <v>24</v>
      </c>
      <c r="JAS378">
        <v>0.05</v>
      </c>
      <c r="JAT378">
        <v>1</v>
      </c>
      <c r="JAU378" t="s">
        <v>531</v>
      </c>
      <c r="JAV378" t="str">
        <f>"628669010033"</f>
        <v>628669010033</v>
      </c>
      <c r="JAW378" t="str">
        <f>"0419671"</f>
        <v>0419671</v>
      </c>
      <c r="JAX378" t="s">
        <v>199</v>
      </c>
      <c r="JAY378" t="s">
        <v>25</v>
      </c>
      <c r="JAZ378">
        <v>24</v>
      </c>
      <c r="JBA378">
        <v>0.05</v>
      </c>
      <c r="JBB378">
        <v>1</v>
      </c>
      <c r="JBC378" t="s">
        <v>531</v>
      </c>
      <c r="JBD378" t="str">
        <f>"628669010033"</f>
        <v>628669010033</v>
      </c>
      <c r="JBE378" t="str">
        <f>"0419671"</f>
        <v>0419671</v>
      </c>
      <c r="JBF378" t="s">
        <v>199</v>
      </c>
      <c r="JBG378" t="s">
        <v>25</v>
      </c>
      <c r="JBH378">
        <v>24</v>
      </c>
      <c r="JBI378">
        <v>0.05</v>
      </c>
      <c r="JBJ378">
        <v>1</v>
      </c>
      <c r="JBK378" t="s">
        <v>531</v>
      </c>
      <c r="JBL378" t="str">
        <f>"628669010033"</f>
        <v>628669010033</v>
      </c>
      <c r="JBM378" t="str">
        <f>"0419671"</f>
        <v>0419671</v>
      </c>
      <c r="JBN378" t="s">
        <v>199</v>
      </c>
      <c r="JBO378" t="s">
        <v>25</v>
      </c>
      <c r="JBP378">
        <v>24</v>
      </c>
      <c r="JBQ378">
        <v>0.05</v>
      </c>
      <c r="JBR378">
        <v>1</v>
      </c>
      <c r="JBS378" t="s">
        <v>531</v>
      </c>
      <c r="JBT378" t="str">
        <f>"628669010033"</f>
        <v>628669010033</v>
      </c>
      <c r="JBU378" t="str">
        <f>"0419671"</f>
        <v>0419671</v>
      </c>
      <c r="JBV378" t="s">
        <v>199</v>
      </c>
      <c r="JBW378" t="s">
        <v>25</v>
      </c>
      <c r="JBX378">
        <v>24</v>
      </c>
      <c r="JBY378">
        <v>0.05</v>
      </c>
      <c r="JBZ378">
        <v>1</v>
      </c>
      <c r="JCA378" t="s">
        <v>531</v>
      </c>
      <c r="JCB378" t="str">
        <f>"628669010033"</f>
        <v>628669010033</v>
      </c>
      <c r="JCC378" t="str">
        <f>"0419671"</f>
        <v>0419671</v>
      </c>
      <c r="JCD378" t="s">
        <v>199</v>
      </c>
      <c r="JCE378" t="s">
        <v>25</v>
      </c>
      <c r="JCF378">
        <v>24</v>
      </c>
      <c r="JCG378">
        <v>0.05</v>
      </c>
      <c r="JCH378">
        <v>1</v>
      </c>
      <c r="JCI378" t="s">
        <v>531</v>
      </c>
      <c r="JCJ378" t="str">
        <f>"628669010033"</f>
        <v>628669010033</v>
      </c>
      <c r="JCK378" t="str">
        <f>"0419671"</f>
        <v>0419671</v>
      </c>
      <c r="JCL378" t="s">
        <v>199</v>
      </c>
      <c r="JCM378" t="s">
        <v>25</v>
      </c>
      <c r="JCN378">
        <v>24</v>
      </c>
      <c r="JCO378">
        <v>0.05</v>
      </c>
      <c r="JCP378">
        <v>1</v>
      </c>
      <c r="JCQ378" t="s">
        <v>531</v>
      </c>
      <c r="JCR378" t="str">
        <f>"628669010033"</f>
        <v>628669010033</v>
      </c>
      <c r="JCS378" t="str">
        <f>"0419671"</f>
        <v>0419671</v>
      </c>
      <c r="JCT378" t="s">
        <v>199</v>
      </c>
      <c r="JCU378" t="s">
        <v>25</v>
      </c>
      <c r="JCV378">
        <v>24</v>
      </c>
      <c r="JCW378">
        <v>0.05</v>
      </c>
      <c r="JCX378">
        <v>1</v>
      </c>
      <c r="JCY378" t="s">
        <v>531</v>
      </c>
      <c r="JCZ378" t="str">
        <f>"628669010033"</f>
        <v>628669010033</v>
      </c>
      <c r="JDA378" t="str">
        <f>"0419671"</f>
        <v>0419671</v>
      </c>
      <c r="JDB378" t="s">
        <v>199</v>
      </c>
      <c r="JDC378" t="s">
        <v>25</v>
      </c>
      <c r="JDD378">
        <v>24</v>
      </c>
      <c r="JDE378">
        <v>0.05</v>
      </c>
      <c r="JDF378">
        <v>1</v>
      </c>
      <c r="JDG378" t="s">
        <v>531</v>
      </c>
      <c r="JDH378" t="str">
        <f>"628669010033"</f>
        <v>628669010033</v>
      </c>
      <c r="JDI378" t="str">
        <f>"0419671"</f>
        <v>0419671</v>
      </c>
      <c r="JDJ378" t="s">
        <v>199</v>
      </c>
      <c r="JDK378" t="s">
        <v>25</v>
      </c>
      <c r="JDL378">
        <v>24</v>
      </c>
      <c r="JDM378">
        <v>0.05</v>
      </c>
      <c r="JDN378">
        <v>1</v>
      </c>
      <c r="JDO378" t="s">
        <v>531</v>
      </c>
      <c r="JDP378" t="str">
        <f>"628669010033"</f>
        <v>628669010033</v>
      </c>
      <c r="JDQ378" t="str">
        <f>"0419671"</f>
        <v>0419671</v>
      </c>
      <c r="JDR378" t="s">
        <v>199</v>
      </c>
      <c r="JDS378" t="s">
        <v>25</v>
      </c>
      <c r="JDT378">
        <v>24</v>
      </c>
      <c r="JDU378">
        <v>0.05</v>
      </c>
      <c r="JDV378">
        <v>1</v>
      </c>
      <c r="JDW378" t="s">
        <v>531</v>
      </c>
      <c r="JDX378" t="str">
        <f>"628669010033"</f>
        <v>628669010033</v>
      </c>
      <c r="JDY378" t="str">
        <f>"0419671"</f>
        <v>0419671</v>
      </c>
      <c r="JDZ378" t="s">
        <v>199</v>
      </c>
      <c r="JEA378" t="s">
        <v>25</v>
      </c>
      <c r="JEB378">
        <v>24</v>
      </c>
      <c r="JEC378">
        <v>0.05</v>
      </c>
      <c r="JED378">
        <v>1</v>
      </c>
      <c r="JEE378" t="s">
        <v>531</v>
      </c>
      <c r="JEF378" t="str">
        <f>"628669010033"</f>
        <v>628669010033</v>
      </c>
      <c r="JEG378" t="str">
        <f>"0419671"</f>
        <v>0419671</v>
      </c>
      <c r="JEH378" t="s">
        <v>199</v>
      </c>
      <c r="JEI378" t="s">
        <v>25</v>
      </c>
      <c r="JEJ378">
        <v>24</v>
      </c>
      <c r="JEK378">
        <v>0.05</v>
      </c>
      <c r="JEL378">
        <v>1</v>
      </c>
      <c r="JEM378" t="s">
        <v>531</v>
      </c>
      <c r="JEN378" t="str">
        <f>"628669010033"</f>
        <v>628669010033</v>
      </c>
      <c r="JEO378" t="str">
        <f>"0419671"</f>
        <v>0419671</v>
      </c>
      <c r="JEP378" t="s">
        <v>199</v>
      </c>
      <c r="JEQ378" t="s">
        <v>25</v>
      </c>
      <c r="JER378">
        <v>24</v>
      </c>
      <c r="JES378">
        <v>0.05</v>
      </c>
      <c r="JET378">
        <v>1</v>
      </c>
      <c r="JEU378" t="s">
        <v>531</v>
      </c>
      <c r="JEV378" t="str">
        <f>"628669010033"</f>
        <v>628669010033</v>
      </c>
      <c r="JEW378" t="str">
        <f>"0419671"</f>
        <v>0419671</v>
      </c>
      <c r="JEX378" t="s">
        <v>199</v>
      </c>
      <c r="JEY378" t="s">
        <v>25</v>
      </c>
      <c r="JEZ378">
        <v>24</v>
      </c>
      <c r="JFA378">
        <v>0.05</v>
      </c>
      <c r="JFB378">
        <v>1</v>
      </c>
      <c r="JFC378" t="s">
        <v>531</v>
      </c>
      <c r="JFD378" t="str">
        <f>"628669010033"</f>
        <v>628669010033</v>
      </c>
      <c r="JFE378" t="str">
        <f>"0419671"</f>
        <v>0419671</v>
      </c>
      <c r="JFF378" t="s">
        <v>199</v>
      </c>
      <c r="JFG378" t="s">
        <v>25</v>
      </c>
      <c r="JFH378">
        <v>24</v>
      </c>
      <c r="JFI378">
        <v>0.05</v>
      </c>
      <c r="JFJ378">
        <v>1</v>
      </c>
      <c r="JFK378" t="s">
        <v>531</v>
      </c>
      <c r="JFL378" t="str">
        <f>"628669010033"</f>
        <v>628669010033</v>
      </c>
      <c r="JFM378" t="str">
        <f>"0419671"</f>
        <v>0419671</v>
      </c>
      <c r="JFN378" t="s">
        <v>199</v>
      </c>
      <c r="JFO378" t="s">
        <v>25</v>
      </c>
      <c r="JFP378">
        <v>24</v>
      </c>
      <c r="JFQ378">
        <v>0.05</v>
      </c>
      <c r="JFR378">
        <v>1</v>
      </c>
      <c r="JFS378" t="s">
        <v>531</v>
      </c>
      <c r="JFT378" t="str">
        <f>"628669010033"</f>
        <v>628669010033</v>
      </c>
      <c r="JFU378" t="str">
        <f>"0419671"</f>
        <v>0419671</v>
      </c>
      <c r="JFV378" t="s">
        <v>199</v>
      </c>
      <c r="JFW378" t="s">
        <v>25</v>
      </c>
      <c r="JFX378">
        <v>24</v>
      </c>
      <c r="JFY378">
        <v>0.05</v>
      </c>
      <c r="JFZ378">
        <v>1</v>
      </c>
      <c r="JGA378" t="s">
        <v>531</v>
      </c>
      <c r="JGB378" t="str">
        <f>"628669010033"</f>
        <v>628669010033</v>
      </c>
      <c r="JGC378" t="str">
        <f>"0419671"</f>
        <v>0419671</v>
      </c>
      <c r="JGD378" t="s">
        <v>199</v>
      </c>
      <c r="JGE378" t="s">
        <v>25</v>
      </c>
      <c r="JGF378">
        <v>24</v>
      </c>
      <c r="JGG378">
        <v>0.05</v>
      </c>
      <c r="JGH378">
        <v>1</v>
      </c>
      <c r="JGI378" t="s">
        <v>531</v>
      </c>
      <c r="JGJ378" t="str">
        <f>"628669010033"</f>
        <v>628669010033</v>
      </c>
      <c r="JGK378" t="str">
        <f>"0419671"</f>
        <v>0419671</v>
      </c>
      <c r="JGL378" t="s">
        <v>199</v>
      </c>
      <c r="JGM378" t="s">
        <v>25</v>
      </c>
      <c r="JGN378">
        <v>24</v>
      </c>
      <c r="JGO378">
        <v>0.05</v>
      </c>
      <c r="JGP378">
        <v>1</v>
      </c>
      <c r="JGQ378" t="s">
        <v>531</v>
      </c>
      <c r="JGR378" t="str">
        <f>"628669010033"</f>
        <v>628669010033</v>
      </c>
      <c r="JGS378" t="str">
        <f>"0419671"</f>
        <v>0419671</v>
      </c>
      <c r="JGT378" t="s">
        <v>199</v>
      </c>
      <c r="JGU378" t="s">
        <v>25</v>
      </c>
      <c r="JGV378">
        <v>24</v>
      </c>
      <c r="JGW378">
        <v>0.05</v>
      </c>
      <c r="JGX378">
        <v>1</v>
      </c>
      <c r="JGY378" t="s">
        <v>531</v>
      </c>
      <c r="JGZ378" t="str">
        <f>"628669010033"</f>
        <v>628669010033</v>
      </c>
      <c r="JHA378" t="str">
        <f>"0419671"</f>
        <v>0419671</v>
      </c>
      <c r="JHB378" t="s">
        <v>199</v>
      </c>
      <c r="JHC378" t="s">
        <v>25</v>
      </c>
      <c r="JHD378">
        <v>24</v>
      </c>
      <c r="JHE378">
        <v>0.05</v>
      </c>
      <c r="JHF378">
        <v>1</v>
      </c>
      <c r="JHG378" t="s">
        <v>531</v>
      </c>
      <c r="JHH378" t="str">
        <f>"628669010033"</f>
        <v>628669010033</v>
      </c>
      <c r="JHI378" t="str">
        <f>"0419671"</f>
        <v>0419671</v>
      </c>
      <c r="JHJ378" t="s">
        <v>199</v>
      </c>
      <c r="JHK378" t="s">
        <v>25</v>
      </c>
      <c r="JHL378">
        <v>24</v>
      </c>
      <c r="JHM378">
        <v>0.05</v>
      </c>
      <c r="JHN378">
        <v>1</v>
      </c>
      <c r="JHO378" t="s">
        <v>531</v>
      </c>
      <c r="JHP378" t="str">
        <f>"628669010033"</f>
        <v>628669010033</v>
      </c>
      <c r="JHQ378" t="str">
        <f>"0419671"</f>
        <v>0419671</v>
      </c>
      <c r="JHR378" t="s">
        <v>199</v>
      </c>
      <c r="JHS378" t="s">
        <v>25</v>
      </c>
      <c r="JHT378">
        <v>24</v>
      </c>
      <c r="JHU378">
        <v>0.05</v>
      </c>
      <c r="JHV378">
        <v>1</v>
      </c>
      <c r="JHW378" t="s">
        <v>531</v>
      </c>
      <c r="JHX378" t="str">
        <f>"628669010033"</f>
        <v>628669010033</v>
      </c>
      <c r="JHY378" t="str">
        <f>"0419671"</f>
        <v>0419671</v>
      </c>
      <c r="JHZ378" t="s">
        <v>199</v>
      </c>
      <c r="JIA378" t="s">
        <v>25</v>
      </c>
      <c r="JIB378">
        <v>24</v>
      </c>
      <c r="JIC378">
        <v>0.05</v>
      </c>
      <c r="JID378">
        <v>1</v>
      </c>
      <c r="JIE378" t="s">
        <v>531</v>
      </c>
      <c r="JIF378" t="str">
        <f>"628669010033"</f>
        <v>628669010033</v>
      </c>
      <c r="JIG378" t="str">
        <f>"0419671"</f>
        <v>0419671</v>
      </c>
      <c r="JIH378" t="s">
        <v>199</v>
      </c>
      <c r="JII378" t="s">
        <v>25</v>
      </c>
      <c r="JIJ378">
        <v>24</v>
      </c>
      <c r="JIK378">
        <v>0.05</v>
      </c>
      <c r="JIL378">
        <v>1</v>
      </c>
      <c r="JIM378" t="s">
        <v>531</v>
      </c>
      <c r="JIN378" t="str">
        <f>"628669010033"</f>
        <v>628669010033</v>
      </c>
      <c r="JIO378" t="str">
        <f>"0419671"</f>
        <v>0419671</v>
      </c>
      <c r="JIP378" t="s">
        <v>199</v>
      </c>
      <c r="JIQ378" t="s">
        <v>25</v>
      </c>
      <c r="JIR378">
        <v>24</v>
      </c>
      <c r="JIS378">
        <v>0.05</v>
      </c>
      <c r="JIT378">
        <v>1</v>
      </c>
      <c r="JIU378" t="s">
        <v>531</v>
      </c>
      <c r="JIV378" t="str">
        <f>"628669010033"</f>
        <v>628669010033</v>
      </c>
      <c r="JIW378" t="str">
        <f>"0419671"</f>
        <v>0419671</v>
      </c>
      <c r="JIX378" t="s">
        <v>199</v>
      </c>
      <c r="JIY378" t="s">
        <v>25</v>
      </c>
      <c r="JIZ378">
        <v>24</v>
      </c>
      <c r="JJA378">
        <v>0.05</v>
      </c>
      <c r="JJB378">
        <v>1</v>
      </c>
      <c r="JJC378" t="s">
        <v>531</v>
      </c>
      <c r="JJD378" t="str">
        <f>"628669010033"</f>
        <v>628669010033</v>
      </c>
      <c r="JJE378" t="str">
        <f>"0419671"</f>
        <v>0419671</v>
      </c>
      <c r="JJF378" t="s">
        <v>199</v>
      </c>
      <c r="JJG378" t="s">
        <v>25</v>
      </c>
      <c r="JJH378">
        <v>24</v>
      </c>
      <c r="JJI378">
        <v>0.05</v>
      </c>
      <c r="JJJ378">
        <v>1</v>
      </c>
      <c r="JJK378" t="s">
        <v>531</v>
      </c>
      <c r="JJL378" t="str">
        <f>"628669010033"</f>
        <v>628669010033</v>
      </c>
      <c r="JJM378" t="str">
        <f>"0419671"</f>
        <v>0419671</v>
      </c>
      <c r="JJN378" t="s">
        <v>199</v>
      </c>
      <c r="JJO378" t="s">
        <v>25</v>
      </c>
      <c r="JJP378">
        <v>24</v>
      </c>
      <c r="JJQ378">
        <v>0.05</v>
      </c>
      <c r="JJR378">
        <v>1</v>
      </c>
      <c r="JJS378" t="s">
        <v>531</v>
      </c>
      <c r="JJT378" t="str">
        <f>"628669010033"</f>
        <v>628669010033</v>
      </c>
      <c r="JJU378" t="str">
        <f>"0419671"</f>
        <v>0419671</v>
      </c>
      <c r="JJV378" t="s">
        <v>199</v>
      </c>
      <c r="JJW378" t="s">
        <v>25</v>
      </c>
      <c r="JJX378">
        <v>24</v>
      </c>
      <c r="JJY378">
        <v>0.05</v>
      </c>
      <c r="JJZ378">
        <v>1</v>
      </c>
      <c r="JKA378" t="s">
        <v>531</v>
      </c>
      <c r="JKB378" t="str">
        <f>"628669010033"</f>
        <v>628669010033</v>
      </c>
      <c r="JKC378" t="str">
        <f>"0419671"</f>
        <v>0419671</v>
      </c>
      <c r="JKD378" t="s">
        <v>199</v>
      </c>
      <c r="JKE378" t="s">
        <v>25</v>
      </c>
      <c r="JKF378">
        <v>24</v>
      </c>
      <c r="JKG378">
        <v>0.05</v>
      </c>
      <c r="JKH378">
        <v>1</v>
      </c>
      <c r="JKI378" t="s">
        <v>531</v>
      </c>
      <c r="JKJ378" t="str">
        <f>"628669010033"</f>
        <v>628669010033</v>
      </c>
      <c r="JKK378" t="str">
        <f>"0419671"</f>
        <v>0419671</v>
      </c>
      <c r="JKL378" t="s">
        <v>199</v>
      </c>
      <c r="JKM378" t="s">
        <v>25</v>
      </c>
      <c r="JKN378">
        <v>24</v>
      </c>
      <c r="JKO378">
        <v>0.05</v>
      </c>
      <c r="JKP378">
        <v>1</v>
      </c>
      <c r="JKQ378" t="s">
        <v>531</v>
      </c>
      <c r="JKR378" t="str">
        <f>"628669010033"</f>
        <v>628669010033</v>
      </c>
      <c r="JKS378" t="str">
        <f>"0419671"</f>
        <v>0419671</v>
      </c>
      <c r="JKT378" t="s">
        <v>199</v>
      </c>
      <c r="JKU378" t="s">
        <v>25</v>
      </c>
      <c r="JKV378">
        <v>24</v>
      </c>
      <c r="JKW378">
        <v>0.05</v>
      </c>
      <c r="JKX378">
        <v>1</v>
      </c>
      <c r="JKY378" t="s">
        <v>531</v>
      </c>
      <c r="JKZ378" t="str">
        <f>"628669010033"</f>
        <v>628669010033</v>
      </c>
      <c r="JLA378" t="str">
        <f>"0419671"</f>
        <v>0419671</v>
      </c>
      <c r="JLB378" t="s">
        <v>199</v>
      </c>
      <c r="JLC378" t="s">
        <v>25</v>
      </c>
      <c r="JLD378">
        <v>24</v>
      </c>
      <c r="JLE378">
        <v>0.05</v>
      </c>
      <c r="JLF378">
        <v>1</v>
      </c>
      <c r="JLG378" t="s">
        <v>531</v>
      </c>
      <c r="JLH378" t="str">
        <f>"628669010033"</f>
        <v>628669010033</v>
      </c>
      <c r="JLI378" t="str">
        <f>"0419671"</f>
        <v>0419671</v>
      </c>
      <c r="JLJ378" t="s">
        <v>199</v>
      </c>
      <c r="JLK378" t="s">
        <v>25</v>
      </c>
      <c r="JLL378">
        <v>24</v>
      </c>
      <c r="JLM378">
        <v>0.05</v>
      </c>
      <c r="JLN378">
        <v>1</v>
      </c>
      <c r="JLO378" t="s">
        <v>531</v>
      </c>
      <c r="JLP378" t="str">
        <f>"628669010033"</f>
        <v>628669010033</v>
      </c>
      <c r="JLQ378" t="str">
        <f>"0419671"</f>
        <v>0419671</v>
      </c>
      <c r="JLR378" t="s">
        <v>199</v>
      </c>
      <c r="JLS378" t="s">
        <v>25</v>
      </c>
      <c r="JLT378">
        <v>24</v>
      </c>
      <c r="JLU378">
        <v>0.05</v>
      </c>
      <c r="JLV378">
        <v>1</v>
      </c>
      <c r="JLW378" t="s">
        <v>531</v>
      </c>
      <c r="JLX378" t="str">
        <f>"628669010033"</f>
        <v>628669010033</v>
      </c>
      <c r="JLY378" t="str">
        <f>"0419671"</f>
        <v>0419671</v>
      </c>
      <c r="JLZ378" t="s">
        <v>199</v>
      </c>
      <c r="JMA378" t="s">
        <v>25</v>
      </c>
      <c r="JMB378">
        <v>24</v>
      </c>
      <c r="JMC378">
        <v>0.05</v>
      </c>
      <c r="JMD378">
        <v>1</v>
      </c>
      <c r="JME378" t="s">
        <v>531</v>
      </c>
      <c r="JMF378" t="str">
        <f>"628669010033"</f>
        <v>628669010033</v>
      </c>
      <c r="JMG378" t="str">
        <f>"0419671"</f>
        <v>0419671</v>
      </c>
      <c r="JMH378" t="s">
        <v>199</v>
      </c>
      <c r="JMI378" t="s">
        <v>25</v>
      </c>
      <c r="JMJ378">
        <v>24</v>
      </c>
      <c r="JMK378">
        <v>0.05</v>
      </c>
      <c r="JML378">
        <v>1</v>
      </c>
      <c r="JMM378" t="s">
        <v>531</v>
      </c>
      <c r="JMN378" t="str">
        <f>"628669010033"</f>
        <v>628669010033</v>
      </c>
      <c r="JMO378" t="str">
        <f>"0419671"</f>
        <v>0419671</v>
      </c>
      <c r="JMP378" t="s">
        <v>199</v>
      </c>
      <c r="JMQ378" t="s">
        <v>25</v>
      </c>
      <c r="JMR378">
        <v>24</v>
      </c>
      <c r="JMS378">
        <v>0.05</v>
      </c>
      <c r="JMT378">
        <v>1</v>
      </c>
      <c r="JMU378" t="s">
        <v>531</v>
      </c>
      <c r="JMV378" t="str">
        <f>"628669010033"</f>
        <v>628669010033</v>
      </c>
      <c r="JMW378" t="str">
        <f>"0419671"</f>
        <v>0419671</v>
      </c>
      <c r="JMX378" t="s">
        <v>199</v>
      </c>
      <c r="JMY378" t="s">
        <v>25</v>
      </c>
      <c r="JMZ378">
        <v>24</v>
      </c>
      <c r="JNA378">
        <v>0.05</v>
      </c>
      <c r="JNB378">
        <v>1</v>
      </c>
      <c r="JNC378" t="s">
        <v>531</v>
      </c>
      <c r="JND378" t="str">
        <f>"628669010033"</f>
        <v>628669010033</v>
      </c>
      <c r="JNE378" t="str">
        <f>"0419671"</f>
        <v>0419671</v>
      </c>
      <c r="JNF378" t="s">
        <v>199</v>
      </c>
      <c r="JNG378" t="s">
        <v>25</v>
      </c>
      <c r="JNH378">
        <v>24</v>
      </c>
      <c r="JNI378">
        <v>0.05</v>
      </c>
      <c r="JNJ378">
        <v>1</v>
      </c>
      <c r="JNK378" t="s">
        <v>531</v>
      </c>
      <c r="JNL378" t="str">
        <f>"628669010033"</f>
        <v>628669010033</v>
      </c>
      <c r="JNM378" t="str">
        <f>"0419671"</f>
        <v>0419671</v>
      </c>
      <c r="JNN378" t="s">
        <v>199</v>
      </c>
      <c r="JNO378" t="s">
        <v>25</v>
      </c>
      <c r="JNP378">
        <v>24</v>
      </c>
      <c r="JNQ378">
        <v>0.05</v>
      </c>
      <c r="JNR378">
        <v>1</v>
      </c>
      <c r="JNS378" t="s">
        <v>531</v>
      </c>
      <c r="JNT378" t="str">
        <f>"628669010033"</f>
        <v>628669010033</v>
      </c>
      <c r="JNU378" t="str">
        <f>"0419671"</f>
        <v>0419671</v>
      </c>
      <c r="JNV378" t="s">
        <v>199</v>
      </c>
      <c r="JNW378" t="s">
        <v>25</v>
      </c>
      <c r="JNX378">
        <v>24</v>
      </c>
      <c r="JNY378">
        <v>0.05</v>
      </c>
      <c r="JNZ378">
        <v>1</v>
      </c>
      <c r="JOA378" t="s">
        <v>531</v>
      </c>
      <c r="JOB378" t="str">
        <f>"628669010033"</f>
        <v>628669010033</v>
      </c>
      <c r="JOC378" t="str">
        <f>"0419671"</f>
        <v>0419671</v>
      </c>
      <c r="JOD378" t="s">
        <v>199</v>
      </c>
      <c r="JOE378" t="s">
        <v>25</v>
      </c>
      <c r="JOF378">
        <v>24</v>
      </c>
      <c r="JOG378">
        <v>0.05</v>
      </c>
      <c r="JOH378">
        <v>1</v>
      </c>
      <c r="JOI378" t="s">
        <v>531</v>
      </c>
      <c r="JOJ378" t="str">
        <f>"628669010033"</f>
        <v>628669010033</v>
      </c>
      <c r="JOK378" t="str">
        <f>"0419671"</f>
        <v>0419671</v>
      </c>
      <c r="JOL378" t="s">
        <v>199</v>
      </c>
      <c r="JOM378" t="s">
        <v>25</v>
      </c>
      <c r="JON378">
        <v>24</v>
      </c>
      <c r="JOO378">
        <v>0.05</v>
      </c>
      <c r="JOP378">
        <v>1</v>
      </c>
      <c r="JOQ378" t="s">
        <v>531</v>
      </c>
      <c r="JOR378" t="str">
        <f>"628669010033"</f>
        <v>628669010033</v>
      </c>
      <c r="JOS378" t="str">
        <f>"0419671"</f>
        <v>0419671</v>
      </c>
      <c r="JOT378" t="s">
        <v>199</v>
      </c>
      <c r="JOU378" t="s">
        <v>25</v>
      </c>
      <c r="JOV378">
        <v>24</v>
      </c>
      <c r="JOW378">
        <v>0.05</v>
      </c>
      <c r="JOX378">
        <v>1</v>
      </c>
      <c r="JOY378" t="s">
        <v>531</v>
      </c>
      <c r="JOZ378" t="str">
        <f>"628669010033"</f>
        <v>628669010033</v>
      </c>
      <c r="JPA378" t="str">
        <f>"0419671"</f>
        <v>0419671</v>
      </c>
      <c r="JPB378" t="s">
        <v>199</v>
      </c>
      <c r="JPC378" t="s">
        <v>25</v>
      </c>
      <c r="JPD378">
        <v>24</v>
      </c>
      <c r="JPE378">
        <v>0.05</v>
      </c>
      <c r="JPF378">
        <v>1</v>
      </c>
      <c r="JPG378" t="s">
        <v>531</v>
      </c>
      <c r="JPH378" t="str">
        <f>"628669010033"</f>
        <v>628669010033</v>
      </c>
      <c r="JPI378" t="str">
        <f>"0419671"</f>
        <v>0419671</v>
      </c>
      <c r="JPJ378" t="s">
        <v>199</v>
      </c>
      <c r="JPK378" t="s">
        <v>25</v>
      </c>
      <c r="JPL378">
        <v>24</v>
      </c>
      <c r="JPM378">
        <v>0.05</v>
      </c>
      <c r="JPN378">
        <v>1</v>
      </c>
      <c r="JPO378" t="s">
        <v>531</v>
      </c>
      <c r="JPP378" t="str">
        <f>"628669010033"</f>
        <v>628669010033</v>
      </c>
      <c r="JPQ378" t="str">
        <f>"0419671"</f>
        <v>0419671</v>
      </c>
      <c r="JPR378" t="s">
        <v>199</v>
      </c>
      <c r="JPS378" t="s">
        <v>25</v>
      </c>
      <c r="JPT378">
        <v>24</v>
      </c>
      <c r="JPU378">
        <v>0.05</v>
      </c>
      <c r="JPV378">
        <v>1</v>
      </c>
      <c r="JPW378" t="s">
        <v>531</v>
      </c>
      <c r="JPX378" t="str">
        <f>"628669010033"</f>
        <v>628669010033</v>
      </c>
      <c r="JPY378" t="str">
        <f>"0419671"</f>
        <v>0419671</v>
      </c>
      <c r="JPZ378" t="s">
        <v>199</v>
      </c>
      <c r="JQA378" t="s">
        <v>25</v>
      </c>
      <c r="JQB378">
        <v>24</v>
      </c>
      <c r="JQC378">
        <v>0.05</v>
      </c>
      <c r="JQD378">
        <v>1</v>
      </c>
      <c r="JQE378" t="s">
        <v>531</v>
      </c>
      <c r="JQF378" t="str">
        <f>"628669010033"</f>
        <v>628669010033</v>
      </c>
      <c r="JQG378" t="str">
        <f>"0419671"</f>
        <v>0419671</v>
      </c>
      <c r="JQH378" t="s">
        <v>199</v>
      </c>
      <c r="JQI378" t="s">
        <v>25</v>
      </c>
      <c r="JQJ378">
        <v>24</v>
      </c>
      <c r="JQK378">
        <v>0.05</v>
      </c>
      <c r="JQL378">
        <v>1</v>
      </c>
      <c r="JQM378" t="s">
        <v>531</v>
      </c>
      <c r="JQN378" t="str">
        <f>"628669010033"</f>
        <v>628669010033</v>
      </c>
      <c r="JQO378" t="str">
        <f>"0419671"</f>
        <v>0419671</v>
      </c>
      <c r="JQP378" t="s">
        <v>199</v>
      </c>
      <c r="JQQ378" t="s">
        <v>25</v>
      </c>
      <c r="JQR378">
        <v>24</v>
      </c>
      <c r="JQS378">
        <v>0.05</v>
      </c>
      <c r="JQT378">
        <v>1</v>
      </c>
      <c r="JQU378" t="s">
        <v>531</v>
      </c>
      <c r="JQV378" t="str">
        <f>"628669010033"</f>
        <v>628669010033</v>
      </c>
      <c r="JQW378" t="str">
        <f>"0419671"</f>
        <v>0419671</v>
      </c>
      <c r="JQX378" t="s">
        <v>199</v>
      </c>
      <c r="JQY378" t="s">
        <v>25</v>
      </c>
      <c r="JQZ378">
        <v>24</v>
      </c>
      <c r="JRA378">
        <v>0.05</v>
      </c>
      <c r="JRB378">
        <v>1</v>
      </c>
      <c r="JRC378" t="s">
        <v>531</v>
      </c>
      <c r="JRD378" t="str">
        <f>"628669010033"</f>
        <v>628669010033</v>
      </c>
      <c r="JRE378" t="str">
        <f>"0419671"</f>
        <v>0419671</v>
      </c>
      <c r="JRF378" t="s">
        <v>199</v>
      </c>
      <c r="JRG378" t="s">
        <v>25</v>
      </c>
      <c r="JRH378">
        <v>24</v>
      </c>
      <c r="JRI378">
        <v>0.05</v>
      </c>
      <c r="JRJ378">
        <v>1</v>
      </c>
      <c r="JRK378" t="s">
        <v>531</v>
      </c>
      <c r="JRL378" t="str">
        <f>"628669010033"</f>
        <v>628669010033</v>
      </c>
      <c r="JRM378" t="str">
        <f>"0419671"</f>
        <v>0419671</v>
      </c>
      <c r="JRN378" t="s">
        <v>199</v>
      </c>
      <c r="JRO378" t="s">
        <v>25</v>
      </c>
      <c r="JRP378">
        <v>24</v>
      </c>
      <c r="JRQ378">
        <v>0.05</v>
      </c>
      <c r="JRR378">
        <v>1</v>
      </c>
      <c r="JRS378" t="s">
        <v>531</v>
      </c>
      <c r="JRT378" t="str">
        <f>"628669010033"</f>
        <v>628669010033</v>
      </c>
      <c r="JRU378" t="str">
        <f>"0419671"</f>
        <v>0419671</v>
      </c>
      <c r="JRV378" t="s">
        <v>199</v>
      </c>
      <c r="JRW378" t="s">
        <v>25</v>
      </c>
      <c r="JRX378">
        <v>24</v>
      </c>
      <c r="JRY378">
        <v>0.05</v>
      </c>
      <c r="JRZ378">
        <v>1</v>
      </c>
      <c r="JSA378" t="s">
        <v>531</v>
      </c>
      <c r="JSB378" t="str">
        <f>"628669010033"</f>
        <v>628669010033</v>
      </c>
      <c r="JSC378" t="str">
        <f>"0419671"</f>
        <v>0419671</v>
      </c>
      <c r="JSD378" t="s">
        <v>199</v>
      </c>
      <c r="JSE378" t="s">
        <v>25</v>
      </c>
      <c r="JSF378">
        <v>24</v>
      </c>
      <c r="JSG378">
        <v>0.05</v>
      </c>
      <c r="JSH378">
        <v>1</v>
      </c>
      <c r="JSI378" t="s">
        <v>531</v>
      </c>
      <c r="JSJ378" t="str">
        <f>"628669010033"</f>
        <v>628669010033</v>
      </c>
      <c r="JSK378" t="str">
        <f>"0419671"</f>
        <v>0419671</v>
      </c>
      <c r="JSL378" t="s">
        <v>199</v>
      </c>
      <c r="JSM378" t="s">
        <v>25</v>
      </c>
      <c r="JSN378">
        <v>24</v>
      </c>
      <c r="JSO378">
        <v>0.05</v>
      </c>
      <c r="JSP378">
        <v>1</v>
      </c>
      <c r="JSQ378" t="s">
        <v>531</v>
      </c>
      <c r="JSR378" t="str">
        <f>"628669010033"</f>
        <v>628669010033</v>
      </c>
      <c r="JSS378" t="str">
        <f>"0419671"</f>
        <v>0419671</v>
      </c>
      <c r="JST378" t="s">
        <v>199</v>
      </c>
      <c r="JSU378" t="s">
        <v>25</v>
      </c>
      <c r="JSV378">
        <v>24</v>
      </c>
      <c r="JSW378">
        <v>0.05</v>
      </c>
      <c r="JSX378">
        <v>1</v>
      </c>
      <c r="JSY378" t="s">
        <v>531</v>
      </c>
      <c r="JSZ378" t="str">
        <f>"628669010033"</f>
        <v>628669010033</v>
      </c>
      <c r="JTA378" t="str">
        <f>"0419671"</f>
        <v>0419671</v>
      </c>
      <c r="JTB378" t="s">
        <v>199</v>
      </c>
      <c r="JTC378" t="s">
        <v>25</v>
      </c>
      <c r="JTD378">
        <v>24</v>
      </c>
      <c r="JTE378">
        <v>0.05</v>
      </c>
      <c r="JTF378">
        <v>1</v>
      </c>
      <c r="JTG378" t="s">
        <v>531</v>
      </c>
      <c r="JTH378" t="str">
        <f>"628669010033"</f>
        <v>628669010033</v>
      </c>
      <c r="JTI378" t="str">
        <f>"0419671"</f>
        <v>0419671</v>
      </c>
      <c r="JTJ378" t="s">
        <v>199</v>
      </c>
      <c r="JTK378" t="s">
        <v>25</v>
      </c>
      <c r="JTL378">
        <v>24</v>
      </c>
      <c r="JTM378">
        <v>0.05</v>
      </c>
      <c r="JTN378">
        <v>1</v>
      </c>
      <c r="JTO378" t="s">
        <v>531</v>
      </c>
      <c r="JTP378" t="str">
        <f>"628669010033"</f>
        <v>628669010033</v>
      </c>
      <c r="JTQ378" t="str">
        <f>"0419671"</f>
        <v>0419671</v>
      </c>
      <c r="JTR378" t="s">
        <v>199</v>
      </c>
      <c r="JTS378" t="s">
        <v>25</v>
      </c>
      <c r="JTT378">
        <v>24</v>
      </c>
      <c r="JTU378">
        <v>0.05</v>
      </c>
      <c r="JTV378">
        <v>1</v>
      </c>
      <c r="JTW378" t="s">
        <v>531</v>
      </c>
      <c r="JTX378" t="str">
        <f>"628669010033"</f>
        <v>628669010033</v>
      </c>
      <c r="JTY378" t="str">
        <f>"0419671"</f>
        <v>0419671</v>
      </c>
      <c r="JTZ378" t="s">
        <v>199</v>
      </c>
      <c r="JUA378" t="s">
        <v>25</v>
      </c>
      <c r="JUB378">
        <v>24</v>
      </c>
      <c r="JUC378">
        <v>0.05</v>
      </c>
      <c r="JUD378">
        <v>1</v>
      </c>
      <c r="JUE378" t="s">
        <v>531</v>
      </c>
      <c r="JUF378" t="str">
        <f>"628669010033"</f>
        <v>628669010033</v>
      </c>
      <c r="JUG378" t="str">
        <f>"0419671"</f>
        <v>0419671</v>
      </c>
      <c r="JUH378" t="s">
        <v>199</v>
      </c>
      <c r="JUI378" t="s">
        <v>25</v>
      </c>
      <c r="JUJ378">
        <v>24</v>
      </c>
      <c r="JUK378">
        <v>0.05</v>
      </c>
      <c r="JUL378">
        <v>1</v>
      </c>
      <c r="JUM378" t="s">
        <v>531</v>
      </c>
      <c r="JUN378" t="str">
        <f>"628669010033"</f>
        <v>628669010033</v>
      </c>
      <c r="JUO378" t="str">
        <f>"0419671"</f>
        <v>0419671</v>
      </c>
      <c r="JUP378" t="s">
        <v>199</v>
      </c>
      <c r="JUQ378" t="s">
        <v>25</v>
      </c>
      <c r="JUR378">
        <v>24</v>
      </c>
      <c r="JUS378">
        <v>0.05</v>
      </c>
      <c r="JUT378">
        <v>1</v>
      </c>
      <c r="JUU378" t="s">
        <v>531</v>
      </c>
      <c r="JUV378" t="str">
        <f>"628669010033"</f>
        <v>628669010033</v>
      </c>
      <c r="JUW378" t="str">
        <f>"0419671"</f>
        <v>0419671</v>
      </c>
      <c r="JUX378" t="s">
        <v>199</v>
      </c>
      <c r="JUY378" t="s">
        <v>25</v>
      </c>
      <c r="JUZ378">
        <v>24</v>
      </c>
      <c r="JVA378">
        <v>0.05</v>
      </c>
      <c r="JVB378">
        <v>1</v>
      </c>
      <c r="JVC378" t="s">
        <v>531</v>
      </c>
      <c r="JVD378" t="str">
        <f>"628669010033"</f>
        <v>628669010033</v>
      </c>
      <c r="JVE378" t="str">
        <f>"0419671"</f>
        <v>0419671</v>
      </c>
      <c r="JVF378" t="s">
        <v>199</v>
      </c>
      <c r="JVG378" t="s">
        <v>25</v>
      </c>
      <c r="JVH378">
        <v>24</v>
      </c>
      <c r="JVI378">
        <v>0.05</v>
      </c>
      <c r="JVJ378">
        <v>1</v>
      </c>
      <c r="JVK378" t="s">
        <v>531</v>
      </c>
      <c r="JVL378" t="str">
        <f>"628669010033"</f>
        <v>628669010033</v>
      </c>
      <c r="JVM378" t="str">
        <f>"0419671"</f>
        <v>0419671</v>
      </c>
      <c r="JVN378" t="s">
        <v>199</v>
      </c>
      <c r="JVO378" t="s">
        <v>25</v>
      </c>
      <c r="JVP378">
        <v>24</v>
      </c>
      <c r="JVQ378">
        <v>0.05</v>
      </c>
      <c r="JVR378">
        <v>1</v>
      </c>
      <c r="JVS378" t="s">
        <v>531</v>
      </c>
      <c r="JVT378" t="str">
        <f>"628669010033"</f>
        <v>628669010033</v>
      </c>
      <c r="JVU378" t="str">
        <f>"0419671"</f>
        <v>0419671</v>
      </c>
      <c r="JVV378" t="s">
        <v>199</v>
      </c>
      <c r="JVW378" t="s">
        <v>25</v>
      </c>
      <c r="JVX378">
        <v>24</v>
      </c>
      <c r="JVY378">
        <v>0.05</v>
      </c>
      <c r="JVZ378">
        <v>1</v>
      </c>
      <c r="JWA378" t="s">
        <v>531</v>
      </c>
      <c r="JWB378" t="str">
        <f>"628669010033"</f>
        <v>628669010033</v>
      </c>
      <c r="JWC378" t="str">
        <f>"0419671"</f>
        <v>0419671</v>
      </c>
      <c r="JWD378" t="s">
        <v>199</v>
      </c>
      <c r="JWE378" t="s">
        <v>25</v>
      </c>
      <c r="JWF378">
        <v>24</v>
      </c>
      <c r="JWG378">
        <v>0.05</v>
      </c>
      <c r="JWH378">
        <v>1</v>
      </c>
      <c r="JWI378" t="s">
        <v>531</v>
      </c>
      <c r="JWJ378" t="str">
        <f>"628669010033"</f>
        <v>628669010033</v>
      </c>
      <c r="JWK378" t="str">
        <f>"0419671"</f>
        <v>0419671</v>
      </c>
      <c r="JWL378" t="s">
        <v>199</v>
      </c>
      <c r="JWM378" t="s">
        <v>25</v>
      </c>
      <c r="JWN378">
        <v>24</v>
      </c>
      <c r="JWO378">
        <v>0.05</v>
      </c>
      <c r="JWP378">
        <v>1</v>
      </c>
      <c r="JWQ378" t="s">
        <v>531</v>
      </c>
      <c r="JWR378" t="str">
        <f>"628669010033"</f>
        <v>628669010033</v>
      </c>
      <c r="JWS378" t="str">
        <f>"0419671"</f>
        <v>0419671</v>
      </c>
      <c r="JWT378" t="s">
        <v>199</v>
      </c>
      <c r="JWU378" t="s">
        <v>25</v>
      </c>
      <c r="JWV378">
        <v>24</v>
      </c>
      <c r="JWW378">
        <v>0.05</v>
      </c>
      <c r="JWX378">
        <v>1</v>
      </c>
      <c r="JWY378" t="s">
        <v>531</v>
      </c>
      <c r="JWZ378" t="str">
        <f>"628669010033"</f>
        <v>628669010033</v>
      </c>
      <c r="JXA378" t="str">
        <f>"0419671"</f>
        <v>0419671</v>
      </c>
      <c r="JXB378" t="s">
        <v>199</v>
      </c>
      <c r="JXC378" t="s">
        <v>25</v>
      </c>
      <c r="JXD378">
        <v>24</v>
      </c>
      <c r="JXE378">
        <v>0.05</v>
      </c>
      <c r="JXF378">
        <v>1</v>
      </c>
      <c r="JXG378" t="s">
        <v>531</v>
      </c>
      <c r="JXH378" t="str">
        <f>"628669010033"</f>
        <v>628669010033</v>
      </c>
      <c r="JXI378" t="str">
        <f>"0419671"</f>
        <v>0419671</v>
      </c>
      <c r="JXJ378" t="s">
        <v>199</v>
      </c>
      <c r="JXK378" t="s">
        <v>25</v>
      </c>
      <c r="JXL378">
        <v>24</v>
      </c>
      <c r="JXM378">
        <v>0.05</v>
      </c>
      <c r="JXN378">
        <v>1</v>
      </c>
      <c r="JXO378" t="s">
        <v>531</v>
      </c>
      <c r="JXP378" t="str">
        <f>"628669010033"</f>
        <v>628669010033</v>
      </c>
      <c r="JXQ378" t="str">
        <f>"0419671"</f>
        <v>0419671</v>
      </c>
      <c r="JXR378" t="s">
        <v>199</v>
      </c>
      <c r="JXS378" t="s">
        <v>25</v>
      </c>
      <c r="JXT378">
        <v>24</v>
      </c>
      <c r="JXU378">
        <v>0.05</v>
      </c>
      <c r="JXV378">
        <v>1</v>
      </c>
      <c r="JXW378" t="s">
        <v>531</v>
      </c>
      <c r="JXX378" t="str">
        <f>"628669010033"</f>
        <v>628669010033</v>
      </c>
      <c r="JXY378" t="str">
        <f>"0419671"</f>
        <v>0419671</v>
      </c>
      <c r="JXZ378" t="s">
        <v>199</v>
      </c>
      <c r="JYA378" t="s">
        <v>25</v>
      </c>
      <c r="JYB378">
        <v>24</v>
      </c>
      <c r="JYC378">
        <v>0.05</v>
      </c>
      <c r="JYD378">
        <v>1</v>
      </c>
      <c r="JYE378" t="s">
        <v>531</v>
      </c>
      <c r="JYF378" t="str">
        <f>"628669010033"</f>
        <v>628669010033</v>
      </c>
      <c r="JYG378" t="str">
        <f>"0419671"</f>
        <v>0419671</v>
      </c>
      <c r="JYH378" t="s">
        <v>199</v>
      </c>
      <c r="JYI378" t="s">
        <v>25</v>
      </c>
      <c r="JYJ378">
        <v>24</v>
      </c>
      <c r="JYK378">
        <v>0.05</v>
      </c>
      <c r="JYL378">
        <v>1</v>
      </c>
      <c r="JYM378" t="s">
        <v>531</v>
      </c>
      <c r="JYN378" t="str">
        <f>"628669010033"</f>
        <v>628669010033</v>
      </c>
      <c r="JYO378" t="str">
        <f>"0419671"</f>
        <v>0419671</v>
      </c>
      <c r="JYP378" t="s">
        <v>199</v>
      </c>
      <c r="JYQ378" t="s">
        <v>25</v>
      </c>
      <c r="JYR378">
        <v>24</v>
      </c>
      <c r="JYS378">
        <v>0.05</v>
      </c>
      <c r="JYT378">
        <v>1</v>
      </c>
      <c r="JYU378" t="s">
        <v>531</v>
      </c>
      <c r="JYV378" t="str">
        <f>"628669010033"</f>
        <v>628669010033</v>
      </c>
      <c r="JYW378" t="str">
        <f>"0419671"</f>
        <v>0419671</v>
      </c>
      <c r="JYX378" t="s">
        <v>199</v>
      </c>
      <c r="JYY378" t="s">
        <v>25</v>
      </c>
      <c r="JYZ378">
        <v>24</v>
      </c>
      <c r="JZA378">
        <v>0.05</v>
      </c>
      <c r="JZB378">
        <v>1</v>
      </c>
      <c r="JZC378" t="s">
        <v>531</v>
      </c>
      <c r="JZD378" t="str">
        <f>"628669010033"</f>
        <v>628669010033</v>
      </c>
      <c r="JZE378" t="str">
        <f>"0419671"</f>
        <v>0419671</v>
      </c>
      <c r="JZF378" t="s">
        <v>199</v>
      </c>
      <c r="JZG378" t="s">
        <v>25</v>
      </c>
      <c r="JZH378">
        <v>24</v>
      </c>
      <c r="JZI378">
        <v>0.05</v>
      </c>
      <c r="JZJ378">
        <v>1</v>
      </c>
      <c r="JZK378" t="s">
        <v>531</v>
      </c>
      <c r="JZL378" t="str">
        <f>"628669010033"</f>
        <v>628669010033</v>
      </c>
      <c r="JZM378" t="str">
        <f>"0419671"</f>
        <v>0419671</v>
      </c>
      <c r="JZN378" t="s">
        <v>199</v>
      </c>
      <c r="JZO378" t="s">
        <v>25</v>
      </c>
      <c r="JZP378">
        <v>24</v>
      </c>
      <c r="JZQ378">
        <v>0.05</v>
      </c>
      <c r="JZR378">
        <v>1</v>
      </c>
      <c r="JZS378" t="s">
        <v>531</v>
      </c>
      <c r="JZT378" t="str">
        <f>"628669010033"</f>
        <v>628669010033</v>
      </c>
      <c r="JZU378" t="str">
        <f>"0419671"</f>
        <v>0419671</v>
      </c>
      <c r="JZV378" t="s">
        <v>199</v>
      </c>
      <c r="JZW378" t="s">
        <v>25</v>
      </c>
      <c r="JZX378">
        <v>24</v>
      </c>
      <c r="JZY378">
        <v>0.05</v>
      </c>
      <c r="JZZ378">
        <v>1</v>
      </c>
      <c r="KAA378" t="s">
        <v>531</v>
      </c>
      <c r="KAB378" t="str">
        <f>"628669010033"</f>
        <v>628669010033</v>
      </c>
      <c r="KAC378" t="str">
        <f>"0419671"</f>
        <v>0419671</v>
      </c>
      <c r="KAD378" t="s">
        <v>199</v>
      </c>
      <c r="KAE378" t="s">
        <v>25</v>
      </c>
      <c r="KAF378">
        <v>24</v>
      </c>
      <c r="KAG378">
        <v>0.05</v>
      </c>
      <c r="KAH378">
        <v>1</v>
      </c>
      <c r="KAI378" t="s">
        <v>531</v>
      </c>
      <c r="KAJ378" t="str">
        <f>"628669010033"</f>
        <v>628669010033</v>
      </c>
      <c r="KAK378" t="str">
        <f>"0419671"</f>
        <v>0419671</v>
      </c>
      <c r="KAL378" t="s">
        <v>199</v>
      </c>
      <c r="KAM378" t="s">
        <v>25</v>
      </c>
      <c r="KAN378">
        <v>24</v>
      </c>
      <c r="KAO378">
        <v>0.05</v>
      </c>
      <c r="KAP378">
        <v>1</v>
      </c>
      <c r="KAQ378" t="s">
        <v>531</v>
      </c>
      <c r="KAR378" t="str">
        <f>"628669010033"</f>
        <v>628669010033</v>
      </c>
      <c r="KAS378" t="str">
        <f>"0419671"</f>
        <v>0419671</v>
      </c>
      <c r="KAT378" t="s">
        <v>199</v>
      </c>
      <c r="KAU378" t="s">
        <v>25</v>
      </c>
      <c r="KAV378">
        <v>24</v>
      </c>
      <c r="KAW378">
        <v>0.05</v>
      </c>
      <c r="KAX378">
        <v>1</v>
      </c>
      <c r="KAY378" t="s">
        <v>531</v>
      </c>
      <c r="KAZ378" t="str">
        <f>"628669010033"</f>
        <v>628669010033</v>
      </c>
      <c r="KBA378" t="str">
        <f>"0419671"</f>
        <v>0419671</v>
      </c>
      <c r="KBB378" t="s">
        <v>199</v>
      </c>
      <c r="KBC378" t="s">
        <v>25</v>
      </c>
      <c r="KBD378">
        <v>24</v>
      </c>
      <c r="KBE378">
        <v>0.05</v>
      </c>
      <c r="KBF378">
        <v>1</v>
      </c>
      <c r="KBG378" t="s">
        <v>531</v>
      </c>
      <c r="KBH378" t="str">
        <f>"628669010033"</f>
        <v>628669010033</v>
      </c>
      <c r="KBI378" t="str">
        <f>"0419671"</f>
        <v>0419671</v>
      </c>
      <c r="KBJ378" t="s">
        <v>199</v>
      </c>
      <c r="KBK378" t="s">
        <v>25</v>
      </c>
      <c r="KBL378">
        <v>24</v>
      </c>
      <c r="KBM378">
        <v>0.05</v>
      </c>
      <c r="KBN378">
        <v>1</v>
      </c>
      <c r="KBO378" t="s">
        <v>531</v>
      </c>
      <c r="KBP378" t="str">
        <f>"628669010033"</f>
        <v>628669010033</v>
      </c>
      <c r="KBQ378" t="str">
        <f>"0419671"</f>
        <v>0419671</v>
      </c>
      <c r="KBR378" t="s">
        <v>199</v>
      </c>
      <c r="KBS378" t="s">
        <v>25</v>
      </c>
      <c r="KBT378">
        <v>24</v>
      </c>
      <c r="KBU378">
        <v>0.05</v>
      </c>
      <c r="KBV378">
        <v>1</v>
      </c>
      <c r="KBW378" t="s">
        <v>531</v>
      </c>
      <c r="KBX378" t="str">
        <f>"628669010033"</f>
        <v>628669010033</v>
      </c>
      <c r="KBY378" t="str">
        <f>"0419671"</f>
        <v>0419671</v>
      </c>
      <c r="KBZ378" t="s">
        <v>199</v>
      </c>
      <c r="KCA378" t="s">
        <v>25</v>
      </c>
      <c r="KCB378">
        <v>24</v>
      </c>
      <c r="KCC378">
        <v>0.05</v>
      </c>
      <c r="KCD378">
        <v>1</v>
      </c>
      <c r="KCE378" t="s">
        <v>531</v>
      </c>
      <c r="KCF378" t="str">
        <f>"628669010033"</f>
        <v>628669010033</v>
      </c>
      <c r="KCG378" t="str">
        <f>"0419671"</f>
        <v>0419671</v>
      </c>
      <c r="KCH378" t="s">
        <v>199</v>
      </c>
      <c r="KCI378" t="s">
        <v>25</v>
      </c>
      <c r="KCJ378">
        <v>24</v>
      </c>
      <c r="KCK378">
        <v>0.05</v>
      </c>
      <c r="KCL378">
        <v>1</v>
      </c>
      <c r="KCM378" t="s">
        <v>531</v>
      </c>
      <c r="KCN378" t="str">
        <f>"628669010033"</f>
        <v>628669010033</v>
      </c>
      <c r="KCO378" t="str">
        <f>"0419671"</f>
        <v>0419671</v>
      </c>
      <c r="KCP378" t="s">
        <v>199</v>
      </c>
      <c r="KCQ378" t="s">
        <v>25</v>
      </c>
      <c r="KCR378">
        <v>24</v>
      </c>
      <c r="KCS378">
        <v>0.05</v>
      </c>
      <c r="KCT378">
        <v>1</v>
      </c>
      <c r="KCU378" t="s">
        <v>531</v>
      </c>
      <c r="KCV378" t="str">
        <f>"628669010033"</f>
        <v>628669010033</v>
      </c>
      <c r="KCW378" t="str">
        <f>"0419671"</f>
        <v>0419671</v>
      </c>
      <c r="KCX378" t="s">
        <v>199</v>
      </c>
      <c r="KCY378" t="s">
        <v>25</v>
      </c>
      <c r="KCZ378">
        <v>24</v>
      </c>
      <c r="KDA378">
        <v>0.05</v>
      </c>
      <c r="KDB378">
        <v>1</v>
      </c>
      <c r="KDC378" t="s">
        <v>531</v>
      </c>
      <c r="KDD378" t="str">
        <f>"628669010033"</f>
        <v>628669010033</v>
      </c>
      <c r="KDE378" t="str">
        <f>"0419671"</f>
        <v>0419671</v>
      </c>
      <c r="KDF378" t="s">
        <v>199</v>
      </c>
      <c r="KDG378" t="s">
        <v>25</v>
      </c>
      <c r="KDH378">
        <v>24</v>
      </c>
      <c r="KDI378">
        <v>0.05</v>
      </c>
      <c r="KDJ378">
        <v>1</v>
      </c>
      <c r="KDK378" t="s">
        <v>531</v>
      </c>
      <c r="KDL378" t="str">
        <f>"628669010033"</f>
        <v>628669010033</v>
      </c>
      <c r="KDM378" t="str">
        <f>"0419671"</f>
        <v>0419671</v>
      </c>
      <c r="KDN378" t="s">
        <v>199</v>
      </c>
      <c r="KDO378" t="s">
        <v>25</v>
      </c>
      <c r="KDP378">
        <v>24</v>
      </c>
      <c r="KDQ378">
        <v>0.05</v>
      </c>
      <c r="KDR378">
        <v>1</v>
      </c>
      <c r="KDS378" t="s">
        <v>531</v>
      </c>
      <c r="KDT378" t="str">
        <f>"628669010033"</f>
        <v>628669010033</v>
      </c>
      <c r="KDU378" t="str">
        <f>"0419671"</f>
        <v>0419671</v>
      </c>
      <c r="KDV378" t="s">
        <v>199</v>
      </c>
      <c r="KDW378" t="s">
        <v>25</v>
      </c>
      <c r="KDX378">
        <v>24</v>
      </c>
      <c r="KDY378">
        <v>0.05</v>
      </c>
      <c r="KDZ378">
        <v>1</v>
      </c>
      <c r="KEA378" t="s">
        <v>531</v>
      </c>
      <c r="KEB378" t="str">
        <f>"628669010033"</f>
        <v>628669010033</v>
      </c>
      <c r="KEC378" t="str">
        <f>"0419671"</f>
        <v>0419671</v>
      </c>
      <c r="KED378" t="s">
        <v>199</v>
      </c>
      <c r="KEE378" t="s">
        <v>25</v>
      </c>
      <c r="KEF378">
        <v>24</v>
      </c>
      <c r="KEG378">
        <v>0.05</v>
      </c>
      <c r="KEH378">
        <v>1</v>
      </c>
      <c r="KEI378" t="s">
        <v>531</v>
      </c>
      <c r="KEJ378" t="str">
        <f>"628669010033"</f>
        <v>628669010033</v>
      </c>
      <c r="KEK378" t="str">
        <f>"0419671"</f>
        <v>0419671</v>
      </c>
      <c r="KEL378" t="s">
        <v>199</v>
      </c>
      <c r="KEM378" t="s">
        <v>25</v>
      </c>
      <c r="KEN378">
        <v>24</v>
      </c>
      <c r="KEO378">
        <v>0.05</v>
      </c>
      <c r="KEP378">
        <v>1</v>
      </c>
      <c r="KEQ378" t="s">
        <v>531</v>
      </c>
      <c r="KER378" t="str">
        <f>"628669010033"</f>
        <v>628669010033</v>
      </c>
      <c r="KES378" t="str">
        <f>"0419671"</f>
        <v>0419671</v>
      </c>
      <c r="KET378" t="s">
        <v>199</v>
      </c>
      <c r="KEU378" t="s">
        <v>25</v>
      </c>
      <c r="KEV378">
        <v>24</v>
      </c>
      <c r="KEW378">
        <v>0.05</v>
      </c>
      <c r="KEX378">
        <v>1</v>
      </c>
      <c r="KEY378" t="s">
        <v>531</v>
      </c>
      <c r="KEZ378" t="str">
        <f>"628669010033"</f>
        <v>628669010033</v>
      </c>
      <c r="KFA378" t="str">
        <f>"0419671"</f>
        <v>0419671</v>
      </c>
      <c r="KFB378" t="s">
        <v>199</v>
      </c>
      <c r="KFC378" t="s">
        <v>25</v>
      </c>
      <c r="KFD378">
        <v>24</v>
      </c>
      <c r="KFE378">
        <v>0.05</v>
      </c>
      <c r="KFF378">
        <v>1</v>
      </c>
      <c r="KFG378" t="s">
        <v>531</v>
      </c>
      <c r="KFH378" t="str">
        <f>"628669010033"</f>
        <v>628669010033</v>
      </c>
      <c r="KFI378" t="str">
        <f>"0419671"</f>
        <v>0419671</v>
      </c>
      <c r="KFJ378" t="s">
        <v>199</v>
      </c>
      <c r="KFK378" t="s">
        <v>25</v>
      </c>
      <c r="KFL378">
        <v>24</v>
      </c>
      <c r="KFM378">
        <v>0.05</v>
      </c>
      <c r="KFN378">
        <v>1</v>
      </c>
      <c r="KFO378" t="s">
        <v>531</v>
      </c>
      <c r="KFP378" t="str">
        <f>"628669010033"</f>
        <v>628669010033</v>
      </c>
      <c r="KFQ378" t="str">
        <f>"0419671"</f>
        <v>0419671</v>
      </c>
      <c r="KFR378" t="s">
        <v>199</v>
      </c>
      <c r="KFS378" t="s">
        <v>25</v>
      </c>
      <c r="KFT378">
        <v>24</v>
      </c>
      <c r="KFU378">
        <v>0.05</v>
      </c>
      <c r="KFV378">
        <v>1</v>
      </c>
      <c r="KFW378" t="s">
        <v>531</v>
      </c>
      <c r="KFX378" t="str">
        <f>"628669010033"</f>
        <v>628669010033</v>
      </c>
      <c r="KFY378" t="str">
        <f>"0419671"</f>
        <v>0419671</v>
      </c>
      <c r="KFZ378" t="s">
        <v>199</v>
      </c>
      <c r="KGA378" t="s">
        <v>25</v>
      </c>
      <c r="KGB378">
        <v>24</v>
      </c>
      <c r="KGC378">
        <v>0.05</v>
      </c>
      <c r="KGD378">
        <v>1</v>
      </c>
      <c r="KGE378" t="s">
        <v>531</v>
      </c>
      <c r="KGF378" t="str">
        <f>"628669010033"</f>
        <v>628669010033</v>
      </c>
      <c r="KGG378" t="str">
        <f>"0419671"</f>
        <v>0419671</v>
      </c>
      <c r="KGH378" t="s">
        <v>199</v>
      </c>
      <c r="KGI378" t="s">
        <v>25</v>
      </c>
      <c r="KGJ378">
        <v>24</v>
      </c>
      <c r="KGK378">
        <v>0.05</v>
      </c>
      <c r="KGL378">
        <v>1</v>
      </c>
      <c r="KGM378" t="s">
        <v>531</v>
      </c>
      <c r="KGN378" t="str">
        <f>"628669010033"</f>
        <v>628669010033</v>
      </c>
      <c r="KGO378" t="str">
        <f>"0419671"</f>
        <v>0419671</v>
      </c>
      <c r="KGP378" t="s">
        <v>199</v>
      </c>
      <c r="KGQ378" t="s">
        <v>25</v>
      </c>
      <c r="KGR378">
        <v>24</v>
      </c>
      <c r="KGS378">
        <v>0.05</v>
      </c>
      <c r="KGT378">
        <v>1</v>
      </c>
      <c r="KGU378" t="s">
        <v>531</v>
      </c>
      <c r="KGV378" t="str">
        <f>"628669010033"</f>
        <v>628669010033</v>
      </c>
      <c r="KGW378" t="str">
        <f>"0419671"</f>
        <v>0419671</v>
      </c>
      <c r="KGX378" t="s">
        <v>199</v>
      </c>
      <c r="KGY378" t="s">
        <v>25</v>
      </c>
      <c r="KGZ378">
        <v>24</v>
      </c>
      <c r="KHA378">
        <v>0.05</v>
      </c>
      <c r="KHB378">
        <v>1</v>
      </c>
      <c r="KHC378" t="s">
        <v>531</v>
      </c>
      <c r="KHD378" t="str">
        <f>"628669010033"</f>
        <v>628669010033</v>
      </c>
      <c r="KHE378" t="str">
        <f>"0419671"</f>
        <v>0419671</v>
      </c>
      <c r="KHF378" t="s">
        <v>199</v>
      </c>
      <c r="KHG378" t="s">
        <v>25</v>
      </c>
      <c r="KHH378">
        <v>24</v>
      </c>
      <c r="KHI378">
        <v>0.05</v>
      </c>
      <c r="KHJ378">
        <v>1</v>
      </c>
      <c r="KHK378" t="s">
        <v>531</v>
      </c>
      <c r="KHL378" t="str">
        <f>"628669010033"</f>
        <v>628669010033</v>
      </c>
      <c r="KHM378" t="str">
        <f>"0419671"</f>
        <v>0419671</v>
      </c>
      <c r="KHN378" t="s">
        <v>199</v>
      </c>
      <c r="KHO378" t="s">
        <v>25</v>
      </c>
      <c r="KHP378">
        <v>24</v>
      </c>
      <c r="KHQ378">
        <v>0.05</v>
      </c>
      <c r="KHR378">
        <v>1</v>
      </c>
      <c r="KHS378" t="s">
        <v>531</v>
      </c>
      <c r="KHT378" t="str">
        <f>"628669010033"</f>
        <v>628669010033</v>
      </c>
      <c r="KHU378" t="str">
        <f>"0419671"</f>
        <v>0419671</v>
      </c>
      <c r="KHV378" t="s">
        <v>199</v>
      </c>
      <c r="KHW378" t="s">
        <v>25</v>
      </c>
      <c r="KHX378">
        <v>24</v>
      </c>
      <c r="KHY378">
        <v>0.05</v>
      </c>
      <c r="KHZ378">
        <v>1</v>
      </c>
      <c r="KIA378" t="s">
        <v>531</v>
      </c>
      <c r="KIB378" t="str">
        <f>"628669010033"</f>
        <v>628669010033</v>
      </c>
      <c r="KIC378" t="str">
        <f>"0419671"</f>
        <v>0419671</v>
      </c>
      <c r="KID378" t="s">
        <v>199</v>
      </c>
      <c r="KIE378" t="s">
        <v>25</v>
      </c>
      <c r="KIF378">
        <v>24</v>
      </c>
      <c r="KIG378">
        <v>0.05</v>
      </c>
      <c r="KIH378">
        <v>1</v>
      </c>
      <c r="KII378" t="s">
        <v>531</v>
      </c>
      <c r="KIJ378" t="str">
        <f>"628669010033"</f>
        <v>628669010033</v>
      </c>
      <c r="KIK378" t="str">
        <f>"0419671"</f>
        <v>0419671</v>
      </c>
      <c r="KIL378" t="s">
        <v>199</v>
      </c>
      <c r="KIM378" t="s">
        <v>25</v>
      </c>
      <c r="KIN378">
        <v>24</v>
      </c>
      <c r="KIO378">
        <v>0.05</v>
      </c>
      <c r="KIP378">
        <v>1</v>
      </c>
      <c r="KIQ378" t="s">
        <v>531</v>
      </c>
      <c r="KIR378" t="str">
        <f>"628669010033"</f>
        <v>628669010033</v>
      </c>
      <c r="KIS378" t="str">
        <f>"0419671"</f>
        <v>0419671</v>
      </c>
      <c r="KIT378" t="s">
        <v>199</v>
      </c>
      <c r="KIU378" t="s">
        <v>25</v>
      </c>
      <c r="KIV378">
        <v>24</v>
      </c>
      <c r="KIW378">
        <v>0.05</v>
      </c>
      <c r="KIX378">
        <v>1</v>
      </c>
      <c r="KIY378" t="s">
        <v>531</v>
      </c>
      <c r="KIZ378" t="str">
        <f>"628669010033"</f>
        <v>628669010033</v>
      </c>
      <c r="KJA378" t="str">
        <f>"0419671"</f>
        <v>0419671</v>
      </c>
      <c r="KJB378" t="s">
        <v>199</v>
      </c>
      <c r="KJC378" t="s">
        <v>25</v>
      </c>
      <c r="KJD378">
        <v>24</v>
      </c>
      <c r="KJE378">
        <v>0.05</v>
      </c>
      <c r="KJF378">
        <v>1</v>
      </c>
      <c r="KJG378" t="s">
        <v>531</v>
      </c>
      <c r="KJH378" t="str">
        <f>"628669010033"</f>
        <v>628669010033</v>
      </c>
      <c r="KJI378" t="str">
        <f>"0419671"</f>
        <v>0419671</v>
      </c>
      <c r="KJJ378" t="s">
        <v>199</v>
      </c>
      <c r="KJK378" t="s">
        <v>25</v>
      </c>
      <c r="KJL378">
        <v>24</v>
      </c>
      <c r="KJM378">
        <v>0.05</v>
      </c>
      <c r="KJN378">
        <v>1</v>
      </c>
      <c r="KJO378" t="s">
        <v>531</v>
      </c>
      <c r="KJP378" t="str">
        <f>"628669010033"</f>
        <v>628669010033</v>
      </c>
      <c r="KJQ378" t="str">
        <f>"0419671"</f>
        <v>0419671</v>
      </c>
      <c r="KJR378" t="s">
        <v>199</v>
      </c>
      <c r="KJS378" t="s">
        <v>25</v>
      </c>
      <c r="KJT378">
        <v>24</v>
      </c>
      <c r="KJU378">
        <v>0.05</v>
      </c>
      <c r="KJV378">
        <v>1</v>
      </c>
      <c r="KJW378" t="s">
        <v>531</v>
      </c>
      <c r="KJX378" t="str">
        <f>"628669010033"</f>
        <v>628669010033</v>
      </c>
      <c r="KJY378" t="str">
        <f>"0419671"</f>
        <v>0419671</v>
      </c>
      <c r="KJZ378" t="s">
        <v>199</v>
      </c>
      <c r="KKA378" t="s">
        <v>25</v>
      </c>
      <c r="KKB378">
        <v>24</v>
      </c>
      <c r="KKC378">
        <v>0.05</v>
      </c>
      <c r="KKD378">
        <v>1</v>
      </c>
      <c r="KKE378" t="s">
        <v>531</v>
      </c>
      <c r="KKF378" t="str">
        <f>"628669010033"</f>
        <v>628669010033</v>
      </c>
      <c r="KKG378" t="str">
        <f>"0419671"</f>
        <v>0419671</v>
      </c>
      <c r="KKH378" t="s">
        <v>199</v>
      </c>
      <c r="KKI378" t="s">
        <v>25</v>
      </c>
      <c r="KKJ378">
        <v>24</v>
      </c>
      <c r="KKK378">
        <v>0.05</v>
      </c>
      <c r="KKL378">
        <v>1</v>
      </c>
      <c r="KKM378" t="s">
        <v>531</v>
      </c>
      <c r="KKN378" t="str">
        <f>"628669010033"</f>
        <v>628669010033</v>
      </c>
      <c r="KKO378" t="str">
        <f>"0419671"</f>
        <v>0419671</v>
      </c>
      <c r="KKP378" t="s">
        <v>199</v>
      </c>
      <c r="KKQ378" t="s">
        <v>25</v>
      </c>
      <c r="KKR378">
        <v>24</v>
      </c>
      <c r="KKS378">
        <v>0.05</v>
      </c>
      <c r="KKT378">
        <v>1</v>
      </c>
      <c r="KKU378" t="s">
        <v>531</v>
      </c>
      <c r="KKV378" t="str">
        <f>"628669010033"</f>
        <v>628669010033</v>
      </c>
      <c r="KKW378" t="str">
        <f>"0419671"</f>
        <v>0419671</v>
      </c>
      <c r="KKX378" t="s">
        <v>199</v>
      </c>
      <c r="KKY378" t="s">
        <v>25</v>
      </c>
      <c r="KKZ378">
        <v>24</v>
      </c>
      <c r="KLA378">
        <v>0.05</v>
      </c>
      <c r="KLB378">
        <v>1</v>
      </c>
      <c r="KLC378" t="s">
        <v>531</v>
      </c>
      <c r="KLD378" t="str">
        <f>"628669010033"</f>
        <v>628669010033</v>
      </c>
      <c r="KLE378" t="str">
        <f>"0419671"</f>
        <v>0419671</v>
      </c>
      <c r="KLF378" t="s">
        <v>199</v>
      </c>
      <c r="KLG378" t="s">
        <v>25</v>
      </c>
      <c r="KLH378">
        <v>24</v>
      </c>
      <c r="KLI378">
        <v>0.05</v>
      </c>
      <c r="KLJ378">
        <v>1</v>
      </c>
      <c r="KLK378" t="s">
        <v>531</v>
      </c>
      <c r="KLL378" t="str">
        <f>"628669010033"</f>
        <v>628669010033</v>
      </c>
      <c r="KLM378" t="str">
        <f>"0419671"</f>
        <v>0419671</v>
      </c>
      <c r="KLN378" t="s">
        <v>199</v>
      </c>
      <c r="KLO378" t="s">
        <v>25</v>
      </c>
      <c r="KLP378">
        <v>24</v>
      </c>
      <c r="KLQ378">
        <v>0.05</v>
      </c>
      <c r="KLR378">
        <v>1</v>
      </c>
      <c r="KLS378" t="s">
        <v>531</v>
      </c>
      <c r="KLT378" t="str">
        <f>"628669010033"</f>
        <v>628669010033</v>
      </c>
      <c r="KLU378" t="str">
        <f>"0419671"</f>
        <v>0419671</v>
      </c>
      <c r="KLV378" t="s">
        <v>199</v>
      </c>
      <c r="KLW378" t="s">
        <v>25</v>
      </c>
      <c r="KLX378">
        <v>24</v>
      </c>
      <c r="KLY378">
        <v>0.05</v>
      </c>
      <c r="KLZ378">
        <v>1</v>
      </c>
      <c r="KMA378" t="s">
        <v>531</v>
      </c>
      <c r="KMB378" t="str">
        <f>"628669010033"</f>
        <v>628669010033</v>
      </c>
      <c r="KMC378" t="str">
        <f>"0419671"</f>
        <v>0419671</v>
      </c>
      <c r="KMD378" t="s">
        <v>199</v>
      </c>
      <c r="KME378" t="s">
        <v>25</v>
      </c>
      <c r="KMF378">
        <v>24</v>
      </c>
      <c r="KMG378">
        <v>0.05</v>
      </c>
      <c r="KMH378">
        <v>1</v>
      </c>
      <c r="KMI378" t="s">
        <v>531</v>
      </c>
      <c r="KMJ378" t="str">
        <f>"628669010033"</f>
        <v>628669010033</v>
      </c>
      <c r="KMK378" t="str">
        <f>"0419671"</f>
        <v>0419671</v>
      </c>
      <c r="KML378" t="s">
        <v>199</v>
      </c>
      <c r="KMM378" t="s">
        <v>25</v>
      </c>
      <c r="KMN378">
        <v>24</v>
      </c>
      <c r="KMO378">
        <v>0.05</v>
      </c>
      <c r="KMP378">
        <v>1</v>
      </c>
      <c r="KMQ378" t="s">
        <v>531</v>
      </c>
      <c r="KMR378" t="str">
        <f>"628669010033"</f>
        <v>628669010033</v>
      </c>
      <c r="KMS378" t="str">
        <f>"0419671"</f>
        <v>0419671</v>
      </c>
      <c r="KMT378" t="s">
        <v>199</v>
      </c>
      <c r="KMU378" t="s">
        <v>25</v>
      </c>
      <c r="KMV378">
        <v>24</v>
      </c>
      <c r="KMW378">
        <v>0.05</v>
      </c>
      <c r="KMX378">
        <v>1</v>
      </c>
      <c r="KMY378" t="s">
        <v>531</v>
      </c>
      <c r="KMZ378" t="str">
        <f>"628669010033"</f>
        <v>628669010033</v>
      </c>
      <c r="KNA378" t="str">
        <f>"0419671"</f>
        <v>0419671</v>
      </c>
      <c r="KNB378" t="s">
        <v>199</v>
      </c>
      <c r="KNC378" t="s">
        <v>25</v>
      </c>
      <c r="KND378">
        <v>24</v>
      </c>
      <c r="KNE378">
        <v>0.05</v>
      </c>
      <c r="KNF378">
        <v>1</v>
      </c>
      <c r="KNG378" t="s">
        <v>531</v>
      </c>
      <c r="KNH378" t="str">
        <f>"628669010033"</f>
        <v>628669010033</v>
      </c>
      <c r="KNI378" t="str">
        <f>"0419671"</f>
        <v>0419671</v>
      </c>
      <c r="KNJ378" t="s">
        <v>199</v>
      </c>
      <c r="KNK378" t="s">
        <v>25</v>
      </c>
      <c r="KNL378">
        <v>24</v>
      </c>
      <c r="KNM378">
        <v>0.05</v>
      </c>
      <c r="KNN378">
        <v>1</v>
      </c>
      <c r="KNO378" t="s">
        <v>531</v>
      </c>
      <c r="KNP378" t="str">
        <f>"628669010033"</f>
        <v>628669010033</v>
      </c>
      <c r="KNQ378" t="str">
        <f>"0419671"</f>
        <v>0419671</v>
      </c>
      <c r="KNR378" t="s">
        <v>199</v>
      </c>
      <c r="KNS378" t="s">
        <v>25</v>
      </c>
      <c r="KNT378">
        <v>24</v>
      </c>
      <c r="KNU378">
        <v>0.05</v>
      </c>
      <c r="KNV378">
        <v>1</v>
      </c>
      <c r="KNW378" t="s">
        <v>531</v>
      </c>
      <c r="KNX378" t="str">
        <f>"628669010033"</f>
        <v>628669010033</v>
      </c>
      <c r="KNY378" t="str">
        <f>"0419671"</f>
        <v>0419671</v>
      </c>
      <c r="KNZ378" t="s">
        <v>199</v>
      </c>
      <c r="KOA378" t="s">
        <v>25</v>
      </c>
      <c r="KOB378">
        <v>24</v>
      </c>
      <c r="KOC378">
        <v>0.05</v>
      </c>
      <c r="KOD378">
        <v>1</v>
      </c>
      <c r="KOE378" t="s">
        <v>531</v>
      </c>
      <c r="KOF378" t="str">
        <f>"628669010033"</f>
        <v>628669010033</v>
      </c>
      <c r="KOG378" t="str">
        <f>"0419671"</f>
        <v>0419671</v>
      </c>
      <c r="KOH378" t="s">
        <v>199</v>
      </c>
      <c r="KOI378" t="s">
        <v>25</v>
      </c>
      <c r="KOJ378">
        <v>24</v>
      </c>
      <c r="KOK378">
        <v>0.05</v>
      </c>
      <c r="KOL378">
        <v>1</v>
      </c>
      <c r="KOM378" t="s">
        <v>531</v>
      </c>
      <c r="KON378" t="str">
        <f>"628669010033"</f>
        <v>628669010033</v>
      </c>
      <c r="KOO378" t="str">
        <f>"0419671"</f>
        <v>0419671</v>
      </c>
      <c r="KOP378" t="s">
        <v>199</v>
      </c>
      <c r="KOQ378" t="s">
        <v>25</v>
      </c>
      <c r="KOR378">
        <v>24</v>
      </c>
      <c r="KOS378">
        <v>0.05</v>
      </c>
      <c r="KOT378">
        <v>1</v>
      </c>
      <c r="KOU378" t="s">
        <v>531</v>
      </c>
      <c r="KOV378" t="str">
        <f>"628669010033"</f>
        <v>628669010033</v>
      </c>
      <c r="KOW378" t="str">
        <f>"0419671"</f>
        <v>0419671</v>
      </c>
      <c r="KOX378" t="s">
        <v>199</v>
      </c>
      <c r="KOY378" t="s">
        <v>25</v>
      </c>
      <c r="KOZ378">
        <v>24</v>
      </c>
      <c r="KPA378">
        <v>0.05</v>
      </c>
      <c r="KPB378">
        <v>1</v>
      </c>
      <c r="KPC378" t="s">
        <v>531</v>
      </c>
      <c r="KPD378" t="str">
        <f>"628669010033"</f>
        <v>628669010033</v>
      </c>
      <c r="KPE378" t="str">
        <f>"0419671"</f>
        <v>0419671</v>
      </c>
      <c r="KPF378" t="s">
        <v>199</v>
      </c>
      <c r="KPG378" t="s">
        <v>25</v>
      </c>
      <c r="KPH378">
        <v>24</v>
      </c>
      <c r="KPI378">
        <v>0.05</v>
      </c>
      <c r="KPJ378">
        <v>1</v>
      </c>
      <c r="KPK378" t="s">
        <v>531</v>
      </c>
      <c r="KPL378" t="str">
        <f>"628669010033"</f>
        <v>628669010033</v>
      </c>
      <c r="KPM378" t="str">
        <f>"0419671"</f>
        <v>0419671</v>
      </c>
      <c r="KPN378" t="s">
        <v>199</v>
      </c>
      <c r="KPO378" t="s">
        <v>25</v>
      </c>
      <c r="KPP378">
        <v>24</v>
      </c>
      <c r="KPQ378">
        <v>0.05</v>
      </c>
      <c r="KPR378">
        <v>1</v>
      </c>
      <c r="KPS378" t="s">
        <v>531</v>
      </c>
      <c r="KPT378" t="str">
        <f>"628669010033"</f>
        <v>628669010033</v>
      </c>
      <c r="KPU378" t="str">
        <f>"0419671"</f>
        <v>0419671</v>
      </c>
      <c r="KPV378" t="s">
        <v>199</v>
      </c>
      <c r="KPW378" t="s">
        <v>25</v>
      </c>
      <c r="KPX378">
        <v>24</v>
      </c>
      <c r="KPY378">
        <v>0.05</v>
      </c>
      <c r="KPZ378">
        <v>1</v>
      </c>
      <c r="KQA378" t="s">
        <v>531</v>
      </c>
      <c r="KQB378" t="str">
        <f>"628669010033"</f>
        <v>628669010033</v>
      </c>
      <c r="KQC378" t="str">
        <f>"0419671"</f>
        <v>0419671</v>
      </c>
      <c r="KQD378" t="s">
        <v>199</v>
      </c>
      <c r="KQE378" t="s">
        <v>25</v>
      </c>
      <c r="KQF378">
        <v>24</v>
      </c>
      <c r="KQG378">
        <v>0.05</v>
      </c>
      <c r="KQH378">
        <v>1</v>
      </c>
      <c r="KQI378" t="s">
        <v>531</v>
      </c>
      <c r="KQJ378" t="str">
        <f>"628669010033"</f>
        <v>628669010033</v>
      </c>
      <c r="KQK378" t="str">
        <f>"0419671"</f>
        <v>0419671</v>
      </c>
      <c r="KQL378" t="s">
        <v>199</v>
      </c>
      <c r="KQM378" t="s">
        <v>25</v>
      </c>
      <c r="KQN378">
        <v>24</v>
      </c>
      <c r="KQO378">
        <v>0.05</v>
      </c>
      <c r="KQP378">
        <v>1</v>
      </c>
      <c r="KQQ378" t="s">
        <v>531</v>
      </c>
      <c r="KQR378" t="str">
        <f>"628669010033"</f>
        <v>628669010033</v>
      </c>
      <c r="KQS378" t="str">
        <f>"0419671"</f>
        <v>0419671</v>
      </c>
      <c r="KQT378" t="s">
        <v>199</v>
      </c>
      <c r="KQU378" t="s">
        <v>25</v>
      </c>
      <c r="KQV378">
        <v>24</v>
      </c>
      <c r="KQW378">
        <v>0.05</v>
      </c>
      <c r="KQX378">
        <v>1</v>
      </c>
      <c r="KQY378" t="s">
        <v>531</v>
      </c>
      <c r="KQZ378" t="str">
        <f>"628669010033"</f>
        <v>628669010033</v>
      </c>
      <c r="KRA378" t="str">
        <f>"0419671"</f>
        <v>0419671</v>
      </c>
      <c r="KRB378" t="s">
        <v>199</v>
      </c>
      <c r="KRC378" t="s">
        <v>25</v>
      </c>
      <c r="KRD378">
        <v>24</v>
      </c>
      <c r="KRE378">
        <v>0.05</v>
      </c>
      <c r="KRF378">
        <v>1</v>
      </c>
      <c r="KRG378" t="s">
        <v>531</v>
      </c>
      <c r="KRH378" t="str">
        <f>"628669010033"</f>
        <v>628669010033</v>
      </c>
      <c r="KRI378" t="str">
        <f>"0419671"</f>
        <v>0419671</v>
      </c>
      <c r="KRJ378" t="s">
        <v>199</v>
      </c>
      <c r="KRK378" t="s">
        <v>25</v>
      </c>
      <c r="KRL378">
        <v>24</v>
      </c>
      <c r="KRM378">
        <v>0.05</v>
      </c>
      <c r="KRN378">
        <v>1</v>
      </c>
      <c r="KRO378" t="s">
        <v>531</v>
      </c>
      <c r="KRP378" t="str">
        <f>"628669010033"</f>
        <v>628669010033</v>
      </c>
      <c r="KRQ378" t="str">
        <f>"0419671"</f>
        <v>0419671</v>
      </c>
      <c r="KRR378" t="s">
        <v>199</v>
      </c>
      <c r="KRS378" t="s">
        <v>25</v>
      </c>
      <c r="KRT378">
        <v>24</v>
      </c>
      <c r="KRU378">
        <v>0.05</v>
      </c>
      <c r="KRV378">
        <v>1</v>
      </c>
      <c r="KRW378" t="s">
        <v>531</v>
      </c>
      <c r="KRX378" t="str">
        <f>"628669010033"</f>
        <v>628669010033</v>
      </c>
      <c r="KRY378" t="str">
        <f>"0419671"</f>
        <v>0419671</v>
      </c>
      <c r="KRZ378" t="s">
        <v>199</v>
      </c>
      <c r="KSA378" t="s">
        <v>25</v>
      </c>
      <c r="KSB378">
        <v>24</v>
      </c>
      <c r="KSC378">
        <v>0.05</v>
      </c>
      <c r="KSD378">
        <v>1</v>
      </c>
      <c r="KSE378" t="s">
        <v>531</v>
      </c>
      <c r="KSF378" t="str">
        <f>"628669010033"</f>
        <v>628669010033</v>
      </c>
      <c r="KSG378" t="str">
        <f>"0419671"</f>
        <v>0419671</v>
      </c>
      <c r="KSH378" t="s">
        <v>199</v>
      </c>
      <c r="KSI378" t="s">
        <v>25</v>
      </c>
      <c r="KSJ378">
        <v>24</v>
      </c>
      <c r="KSK378">
        <v>0.05</v>
      </c>
      <c r="KSL378">
        <v>1</v>
      </c>
      <c r="KSM378" t="s">
        <v>531</v>
      </c>
      <c r="KSN378" t="str">
        <f>"628669010033"</f>
        <v>628669010033</v>
      </c>
      <c r="KSO378" t="str">
        <f>"0419671"</f>
        <v>0419671</v>
      </c>
      <c r="KSP378" t="s">
        <v>199</v>
      </c>
      <c r="KSQ378" t="s">
        <v>25</v>
      </c>
      <c r="KSR378">
        <v>24</v>
      </c>
      <c r="KSS378">
        <v>0.05</v>
      </c>
      <c r="KST378">
        <v>1</v>
      </c>
      <c r="KSU378" t="s">
        <v>531</v>
      </c>
      <c r="KSV378" t="str">
        <f>"628669010033"</f>
        <v>628669010033</v>
      </c>
      <c r="KSW378" t="str">
        <f>"0419671"</f>
        <v>0419671</v>
      </c>
      <c r="KSX378" t="s">
        <v>199</v>
      </c>
      <c r="KSY378" t="s">
        <v>25</v>
      </c>
      <c r="KSZ378">
        <v>24</v>
      </c>
      <c r="KTA378">
        <v>0.05</v>
      </c>
      <c r="KTB378">
        <v>1</v>
      </c>
      <c r="KTC378" t="s">
        <v>531</v>
      </c>
      <c r="KTD378" t="str">
        <f>"628669010033"</f>
        <v>628669010033</v>
      </c>
      <c r="KTE378" t="str">
        <f>"0419671"</f>
        <v>0419671</v>
      </c>
      <c r="KTF378" t="s">
        <v>199</v>
      </c>
      <c r="KTG378" t="s">
        <v>25</v>
      </c>
      <c r="KTH378">
        <v>24</v>
      </c>
      <c r="KTI378">
        <v>0.05</v>
      </c>
      <c r="KTJ378">
        <v>1</v>
      </c>
      <c r="KTK378" t="s">
        <v>531</v>
      </c>
      <c r="KTL378" t="str">
        <f>"628669010033"</f>
        <v>628669010033</v>
      </c>
      <c r="KTM378" t="str">
        <f>"0419671"</f>
        <v>0419671</v>
      </c>
      <c r="KTN378" t="s">
        <v>199</v>
      </c>
      <c r="KTO378" t="s">
        <v>25</v>
      </c>
      <c r="KTP378">
        <v>24</v>
      </c>
      <c r="KTQ378">
        <v>0.05</v>
      </c>
      <c r="KTR378">
        <v>1</v>
      </c>
      <c r="KTS378" t="s">
        <v>531</v>
      </c>
      <c r="KTT378" t="str">
        <f>"628669010033"</f>
        <v>628669010033</v>
      </c>
      <c r="KTU378" t="str">
        <f>"0419671"</f>
        <v>0419671</v>
      </c>
      <c r="KTV378" t="s">
        <v>199</v>
      </c>
      <c r="KTW378" t="s">
        <v>25</v>
      </c>
      <c r="KTX378">
        <v>24</v>
      </c>
      <c r="KTY378">
        <v>0.05</v>
      </c>
      <c r="KTZ378">
        <v>1</v>
      </c>
      <c r="KUA378" t="s">
        <v>531</v>
      </c>
      <c r="KUB378" t="str">
        <f>"628669010033"</f>
        <v>628669010033</v>
      </c>
      <c r="KUC378" t="str">
        <f>"0419671"</f>
        <v>0419671</v>
      </c>
      <c r="KUD378" t="s">
        <v>199</v>
      </c>
      <c r="KUE378" t="s">
        <v>25</v>
      </c>
      <c r="KUF378">
        <v>24</v>
      </c>
      <c r="KUG378">
        <v>0.05</v>
      </c>
      <c r="KUH378">
        <v>1</v>
      </c>
      <c r="KUI378" t="s">
        <v>531</v>
      </c>
      <c r="KUJ378" t="str">
        <f>"628669010033"</f>
        <v>628669010033</v>
      </c>
      <c r="KUK378" t="str">
        <f>"0419671"</f>
        <v>0419671</v>
      </c>
      <c r="KUL378" t="s">
        <v>199</v>
      </c>
      <c r="KUM378" t="s">
        <v>25</v>
      </c>
      <c r="KUN378">
        <v>24</v>
      </c>
      <c r="KUO378">
        <v>0.05</v>
      </c>
      <c r="KUP378">
        <v>1</v>
      </c>
      <c r="KUQ378" t="s">
        <v>531</v>
      </c>
      <c r="KUR378" t="str">
        <f>"628669010033"</f>
        <v>628669010033</v>
      </c>
      <c r="KUS378" t="str">
        <f>"0419671"</f>
        <v>0419671</v>
      </c>
      <c r="KUT378" t="s">
        <v>199</v>
      </c>
      <c r="KUU378" t="s">
        <v>25</v>
      </c>
      <c r="KUV378">
        <v>24</v>
      </c>
      <c r="KUW378">
        <v>0.05</v>
      </c>
      <c r="KUX378">
        <v>1</v>
      </c>
      <c r="KUY378" t="s">
        <v>531</v>
      </c>
      <c r="KUZ378" t="str">
        <f>"628669010033"</f>
        <v>628669010033</v>
      </c>
      <c r="KVA378" t="str">
        <f>"0419671"</f>
        <v>0419671</v>
      </c>
      <c r="KVB378" t="s">
        <v>199</v>
      </c>
      <c r="KVC378" t="s">
        <v>25</v>
      </c>
      <c r="KVD378">
        <v>24</v>
      </c>
      <c r="KVE378">
        <v>0.05</v>
      </c>
      <c r="KVF378">
        <v>1</v>
      </c>
      <c r="KVG378" t="s">
        <v>531</v>
      </c>
      <c r="KVH378" t="str">
        <f>"628669010033"</f>
        <v>628669010033</v>
      </c>
      <c r="KVI378" t="str">
        <f>"0419671"</f>
        <v>0419671</v>
      </c>
      <c r="KVJ378" t="s">
        <v>199</v>
      </c>
      <c r="KVK378" t="s">
        <v>25</v>
      </c>
      <c r="KVL378">
        <v>24</v>
      </c>
      <c r="KVM378">
        <v>0.05</v>
      </c>
      <c r="KVN378">
        <v>1</v>
      </c>
      <c r="KVO378" t="s">
        <v>531</v>
      </c>
      <c r="KVP378" t="str">
        <f>"628669010033"</f>
        <v>628669010033</v>
      </c>
      <c r="KVQ378" t="str">
        <f>"0419671"</f>
        <v>0419671</v>
      </c>
      <c r="KVR378" t="s">
        <v>199</v>
      </c>
      <c r="KVS378" t="s">
        <v>25</v>
      </c>
      <c r="KVT378">
        <v>24</v>
      </c>
      <c r="KVU378">
        <v>0.05</v>
      </c>
      <c r="KVV378">
        <v>1</v>
      </c>
      <c r="KVW378" t="s">
        <v>531</v>
      </c>
      <c r="KVX378" t="str">
        <f>"628669010033"</f>
        <v>628669010033</v>
      </c>
      <c r="KVY378" t="str">
        <f>"0419671"</f>
        <v>0419671</v>
      </c>
      <c r="KVZ378" t="s">
        <v>199</v>
      </c>
      <c r="KWA378" t="s">
        <v>25</v>
      </c>
      <c r="KWB378">
        <v>24</v>
      </c>
      <c r="KWC378">
        <v>0.05</v>
      </c>
      <c r="KWD378">
        <v>1</v>
      </c>
      <c r="KWE378" t="s">
        <v>531</v>
      </c>
      <c r="KWF378" t="str">
        <f>"628669010033"</f>
        <v>628669010033</v>
      </c>
      <c r="KWG378" t="str">
        <f>"0419671"</f>
        <v>0419671</v>
      </c>
      <c r="KWH378" t="s">
        <v>199</v>
      </c>
      <c r="KWI378" t="s">
        <v>25</v>
      </c>
      <c r="KWJ378">
        <v>24</v>
      </c>
      <c r="KWK378">
        <v>0.05</v>
      </c>
      <c r="KWL378">
        <v>1</v>
      </c>
      <c r="KWM378" t="s">
        <v>531</v>
      </c>
      <c r="KWN378" t="str">
        <f>"628669010033"</f>
        <v>628669010033</v>
      </c>
      <c r="KWO378" t="str">
        <f>"0419671"</f>
        <v>0419671</v>
      </c>
      <c r="KWP378" t="s">
        <v>199</v>
      </c>
      <c r="KWQ378" t="s">
        <v>25</v>
      </c>
      <c r="KWR378">
        <v>24</v>
      </c>
      <c r="KWS378">
        <v>0.05</v>
      </c>
      <c r="KWT378">
        <v>1</v>
      </c>
      <c r="KWU378" t="s">
        <v>531</v>
      </c>
      <c r="KWV378" t="str">
        <f>"628669010033"</f>
        <v>628669010033</v>
      </c>
      <c r="KWW378" t="str">
        <f>"0419671"</f>
        <v>0419671</v>
      </c>
      <c r="KWX378" t="s">
        <v>199</v>
      </c>
      <c r="KWY378" t="s">
        <v>25</v>
      </c>
      <c r="KWZ378">
        <v>24</v>
      </c>
      <c r="KXA378">
        <v>0.05</v>
      </c>
      <c r="KXB378">
        <v>1</v>
      </c>
      <c r="KXC378" t="s">
        <v>531</v>
      </c>
      <c r="KXD378" t="str">
        <f>"628669010033"</f>
        <v>628669010033</v>
      </c>
      <c r="KXE378" t="str">
        <f>"0419671"</f>
        <v>0419671</v>
      </c>
      <c r="KXF378" t="s">
        <v>199</v>
      </c>
      <c r="KXG378" t="s">
        <v>25</v>
      </c>
      <c r="KXH378">
        <v>24</v>
      </c>
      <c r="KXI378">
        <v>0.05</v>
      </c>
      <c r="KXJ378">
        <v>1</v>
      </c>
      <c r="KXK378" t="s">
        <v>531</v>
      </c>
      <c r="KXL378" t="str">
        <f>"628669010033"</f>
        <v>628669010033</v>
      </c>
      <c r="KXM378" t="str">
        <f>"0419671"</f>
        <v>0419671</v>
      </c>
      <c r="KXN378" t="s">
        <v>199</v>
      </c>
      <c r="KXO378" t="s">
        <v>25</v>
      </c>
      <c r="KXP378">
        <v>24</v>
      </c>
      <c r="KXQ378">
        <v>0.05</v>
      </c>
      <c r="KXR378">
        <v>1</v>
      </c>
      <c r="KXS378" t="s">
        <v>531</v>
      </c>
      <c r="KXT378" t="str">
        <f>"628669010033"</f>
        <v>628669010033</v>
      </c>
      <c r="KXU378" t="str">
        <f>"0419671"</f>
        <v>0419671</v>
      </c>
      <c r="KXV378" t="s">
        <v>199</v>
      </c>
      <c r="KXW378" t="s">
        <v>25</v>
      </c>
      <c r="KXX378">
        <v>24</v>
      </c>
      <c r="KXY378">
        <v>0.05</v>
      </c>
      <c r="KXZ378">
        <v>1</v>
      </c>
      <c r="KYA378" t="s">
        <v>531</v>
      </c>
      <c r="KYB378" t="str">
        <f>"628669010033"</f>
        <v>628669010033</v>
      </c>
      <c r="KYC378" t="str">
        <f>"0419671"</f>
        <v>0419671</v>
      </c>
      <c r="KYD378" t="s">
        <v>199</v>
      </c>
      <c r="KYE378" t="s">
        <v>25</v>
      </c>
      <c r="KYF378">
        <v>24</v>
      </c>
      <c r="KYG378">
        <v>0.05</v>
      </c>
      <c r="KYH378">
        <v>1</v>
      </c>
      <c r="KYI378" t="s">
        <v>531</v>
      </c>
      <c r="KYJ378" t="str">
        <f>"628669010033"</f>
        <v>628669010033</v>
      </c>
      <c r="KYK378" t="str">
        <f>"0419671"</f>
        <v>0419671</v>
      </c>
      <c r="KYL378" t="s">
        <v>199</v>
      </c>
      <c r="KYM378" t="s">
        <v>25</v>
      </c>
      <c r="KYN378">
        <v>24</v>
      </c>
      <c r="KYO378">
        <v>0.05</v>
      </c>
      <c r="KYP378">
        <v>1</v>
      </c>
      <c r="KYQ378" t="s">
        <v>531</v>
      </c>
      <c r="KYR378" t="str">
        <f>"628669010033"</f>
        <v>628669010033</v>
      </c>
      <c r="KYS378" t="str">
        <f>"0419671"</f>
        <v>0419671</v>
      </c>
      <c r="KYT378" t="s">
        <v>199</v>
      </c>
      <c r="KYU378" t="s">
        <v>25</v>
      </c>
      <c r="KYV378">
        <v>24</v>
      </c>
      <c r="KYW378">
        <v>0.05</v>
      </c>
      <c r="KYX378">
        <v>1</v>
      </c>
      <c r="KYY378" t="s">
        <v>531</v>
      </c>
      <c r="KYZ378" t="str">
        <f>"628669010033"</f>
        <v>628669010033</v>
      </c>
      <c r="KZA378" t="str">
        <f>"0419671"</f>
        <v>0419671</v>
      </c>
      <c r="KZB378" t="s">
        <v>199</v>
      </c>
      <c r="KZC378" t="s">
        <v>25</v>
      </c>
      <c r="KZD378">
        <v>24</v>
      </c>
      <c r="KZE378">
        <v>0.05</v>
      </c>
      <c r="KZF378">
        <v>1</v>
      </c>
      <c r="KZG378" t="s">
        <v>531</v>
      </c>
      <c r="KZH378" t="str">
        <f>"628669010033"</f>
        <v>628669010033</v>
      </c>
      <c r="KZI378" t="str">
        <f>"0419671"</f>
        <v>0419671</v>
      </c>
      <c r="KZJ378" t="s">
        <v>199</v>
      </c>
      <c r="KZK378" t="s">
        <v>25</v>
      </c>
      <c r="KZL378">
        <v>24</v>
      </c>
      <c r="KZM378">
        <v>0.05</v>
      </c>
      <c r="KZN378">
        <v>1</v>
      </c>
      <c r="KZO378" t="s">
        <v>531</v>
      </c>
      <c r="KZP378" t="str">
        <f>"628669010033"</f>
        <v>628669010033</v>
      </c>
      <c r="KZQ378" t="str">
        <f>"0419671"</f>
        <v>0419671</v>
      </c>
      <c r="KZR378" t="s">
        <v>199</v>
      </c>
      <c r="KZS378" t="s">
        <v>25</v>
      </c>
      <c r="KZT378">
        <v>24</v>
      </c>
      <c r="KZU378">
        <v>0.05</v>
      </c>
      <c r="KZV378">
        <v>1</v>
      </c>
      <c r="KZW378" t="s">
        <v>531</v>
      </c>
      <c r="KZX378" t="str">
        <f>"628669010033"</f>
        <v>628669010033</v>
      </c>
      <c r="KZY378" t="str">
        <f>"0419671"</f>
        <v>0419671</v>
      </c>
      <c r="KZZ378" t="s">
        <v>199</v>
      </c>
      <c r="LAA378" t="s">
        <v>25</v>
      </c>
      <c r="LAB378">
        <v>24</v>
      </c>
      <c r="LAC378">
        <v>0.05</v>
      </c>
      <c r="LAD378">
        <v>1</v>
      </c>
      <c r="LAE378" t="s">
        <v>531</v>
      </c>
      <c r="LAF378" t="str">
        <f>"628669010033"</f>
        <v>628669010033</v>
      </c>
      <c r="LAG378" t="str">
        <f>"0419671"</f>
        <v>0419671</v>
      </c>
      <c r="LAH378" t="s">
        <v>199</v>
      </c>
      <c r="LAI378" t="s">
        <v>25</v>
      </c>
      <c r="LAJ378">
        <v>24</v>
      </c>
      <c r="LAK378">
        <v>0.05</v>
      </c>
      <c r="LAL378">
        <v>1</v>
      </c>
      <c r="LAM378" t="s">
        <v>531</v>
      </c>
      <c r="LAN378" t="str">
        <f>"628669010033"</f>
        <v>628669010033</v>
      </c>
      <c r="LAO378" t="str">
        <f>"0419671"</f>
        <v>0419671</v>
      </c>
      <c r="LAP378" t="s">
        <v>199</v>
      </c>
      <c r="LAQ378" t="s">
        <v>25</v>
      </c>
      <c r="LAR378">
        <v>24</v>
      </c>
      <c r="LAS378">
        <v>0.05</v>
      </c>
      <c r="LAT378">
        <v>1</v>
      </c>
      <c r="LAU378" t="s">
        <v>531</v>
      </c>
      <c r="LAV378" t="str">
        <f>"628669010033"</f>
        <v>628669010033</v>
      </c>
      <c r="LAW378" t="str">
        <f>"0419671"</f>
        <v>0419671</v>
      </c>
      <c r="LAX378" t="s">
        <v>199</v>
      </c>
      <c r="LAY378" t="s">
        <v>25</v>
      </c>
      <c r="LAZ378">
        <v>24</v>
      </c>
      <c r="LBA378">
        <v>0.05</v>
      </c>
      <c r="LBB378">
        <v>1</v>
      </c>
      <c r="LBC378" t="s">
        <v>531</v>
      </c>
      <c r="LBD378" t="str">
        <f>"628669010033"</f>
        <v>628669010033</v>
      </c>
      <c r="LBE378" t="str">
        <f>"0419671"</f>
        <v>0419671</v>
      </c>
      <c r="LBF378" t="s">
        <v>199</v>
      </c>
      <c r="LBG378" t="s">
        <v>25</v>
      </c>
      <c r="LBH378">
        <v>24</v>
      </c>
      <c r="LBI378">
        <v>0.05</v>
      </c>
      <c r="LBJ378">
        <v>1</v>
      </c>
      <c r="LBK378" t="s">
        <v>531</v>
      </c>
      <c r="LBL378" t="str">
        <f>"628669010033"</f>
        <v>628669010033</v>
      </c>
      <c r="LBM378" t="str">
        <f>"0419671"</f>
        <v>0419671</v>
      </c>
      <c r="LBN378" t="s">
        <v>199</v>
      </c>
      <c r="LBO378" t="s">
        <v>25</v>
      </c>
      <c r="LBP378">
        <v>24</v>
      </c>
      <c r="LBQ378">
        <v>0.05</v>
      </c>
      <c r="LBR378">
        <v>1</v>
      </c>
      <c r="LBS378" t="s">
        <v>531</v>
      </c>
      <c r="LBT378" t="str">
        <f>"628669010033"</f>
        <v>628669010033</v>
      </c>
      <c r="LBU378" t="str">
        <f>"0419671"</f>
        <v>0419671</v>
      </c>
      <c r="LBV378" t="s">
        <v>199</v>
      </c>
      <c r="LBW378" t="s">
        <v>25</v>
      </c>
      <c r="LBX378">
        <v>24</v>
      </c>
      <c r="LBY378">
        <v>0.05</v>
      </c>
      <c r="LBZ378">
        <v>1</v>
      </c>
      <c r="LCA378" t="s">
        <v>531</v>
      </c>
      <c r="LCB378" t="str">
        <f>"628669010033"</f>
        <v>628669010033</v>
      </c>
      <c r="LCC378" t="str">
        <f>"0419671"</f>
        <v>0419671</v>
      </c>
      <c r="LCD378" t="s">
        <v>199</v>
      </c>
      <c r="LCE378" t="s">
        <v>25</v>
      </c>
      <c r="LCF378">
        <v>24</v>
      </c>
      <c r="LCG378">
        <v>0.05</v>
      </c>
      <c r="LCH378">
        <v>1</v>
      </c>
      <c r="LCI378" t="s">
        <v>531</v>
      </c>
      <c r="LCJ378" t="str">
        <f>"628669010033"</f>
        <v>628669010033</v>
      </c>
      <c r="LCK378" t="str">
        <f>"0419671"</f>
        <v>0419671</v>
      </c>
      <c r="LCL378" t="s">
        <v>199</v>
      </c>
      <c r="LCM378" t="s">
        <v>25</v>
      </c>
      <c r="LCN378">
        <v>24</v>
      </c>
      <c r="LCO378">
        <v>0.05</v>
      </c>
      <c r="LCP378">
        <v>1</v>
      </c>
      <c r="LCQ378" t="s">
        <v>531</v>
      </c>
      <c r="LCR378" t="str">
        <f>"628669010033"</f>
        <v>628669010033</v>
      </c>
      <c r="LCS378" t="str">
        <f>"0419671"</f>
        <v>0419671</v>
      </c>
      <c r="LCT378" t="s">
        <v>199</v>
      </c>
      <c r="LCU378" t="s">
        <v>25</v>
      </c>
      <c r="LCV378">
        <v>24</v>
      </c>
      <c r="LCW378">
        <v>0.05</v>
      </c>
      <c r="LCX378">
        <v>1</v>
      </c>
      <c r="LCY378" t="s">
        <v>531</v>
      </c>
      <c r="LCZ378" t="str">
        <f>"628669010033"</f>
        <v>628669010033</v>
      </c>
      <c r="LDA378" t="str">
        <f>"0419671"</f>
        <v>0419671</v>
      </c>
      <c r="LDB378" t="s">
        <v>199</v>
      </c>
      <c r="LDC378" t="s">
        <v>25</v>
      </c>
      <c r="LDD378">
        <v>24</v>
      </c>
      <c r="LDE378">
        <v>0.05</v>
      </c>
      <c r="LDF378">
        <v>1</v>
      </c>
      <c r="LDG378" t="s">
        <v>531</v>
      </c>
      <c r="LDH378" t="str">
        <f>"628669010033"</f>
        <v>628669010033</v>
      </c>
      <c r="LDI378" t="str">
        <f>"0419671"</f>
        <v>0419671</v>
      </c>
      <c r="LDJ378" t="s">
        <v>199</v>
      </c>
      <c r="LDK378" t="s">
        <v>25</v>
      </c>
      <c r="LDL378">
        <v>24</v>
      </c>
      <c r="LDM378">
        <v>0.05</v>
      </c>
      <c r="LDN378">
        <v>1</v>
      </c>
      <c r="LDO378" t="s">
        <v>531</v>
      </c>
      <c r="LDP378" t="str">
        <f>"628669010033"</f>
        <v>628669010033</v>
      </c>
      <c r="LDQ378" t="str">
        <f>"0419671"</f>
        <v>0419671</v>
      </c>
      <c r="LDR378" t="s">
        <v>199</v>
      </c>
      <c r="LDS378" t="s">
        <v>25</v>
      </c>
      <c r="LDT378">
        <v>24</v>
      </c>
      <c r="LDU378">
        <v>0.05</v>
      </c>
      <c r="LDV378">
        <v>1</v>
      </c>
      <c r="LDW378" t="s">
        <v>531</v>
      </c>
      <c r="LDX378" t="str">
        <f>"628669010033"</f>
        <v>628669010033</v>
      </c>
      <c r="LDY378" t="str">
        <f>"0419671"</f>
        <v>0419671</v>
      </c>
      <c r="LDZ378" t="s">
        <v>199</v>
      </c>
      <c r="LEA378" t="s">
        <v>25</v>
      </c>
      <c r="LEB378">
        <v>24</v>
      </c>
      <c r="LEC378">
        <v>0.05</v>
      </c>
      <c r="LED378">
        <v>1</v>
      </c>
      <c r="LEE378" t="s">
        <v>531</v>
      </c>
      <c r="LEF378" t="str">
        <f>"628669010033"</f>
        <v>628669010033</v>
      </c>
      <c r="LEG378" t="str">
        <f>"0419671"</f>
        <v>0419671</v>
      </c>
      <c r="LEH378" t="s">
        <v>199</v>
      </c>
      <c r="LEI378" t="s">
        <v>25</v>
      </c>
      <c r="LEJ378">
        <v>24</v>
      </c>
      <c r="LEK378">
        <v>0.05</v>
      </c>
      <c r="LEL378">
        <v>1</v>
      </c>
      <c r="LEM378" t="s">
        <v>531</v>
      </c>
      <c r="LEN378" t="str">
        <f>"628669010033"</f>
        <v>628669010033</v>
      </c>
      <c r="LEO378" t="str">
        <f>"0419671"</f>
        <v>0419671</v>
      </c>
      <c r="LEP378" t="s">
        <v>199</v>
      </c>
      <c r="LEQ378" t="s">
        <v>25</v>
      </c>
      <c r="LER378">
        <v>24</v>
      </c>
      <c r="LES378">
        <v>0.05</v>
      </c>
      <c r="LET378">
        <v>1</v>
      </c>
      <c r="LEU378" t="s">
        <v>531</v>
      </c>
      <c r="LEV378" t="str">
        <f>"628669010033"</f>
        <v>628669010033</v>
      </c>
      <c r="LEW378" t="str">
        <f>"0419671"</f>
        <v>0419671</v>
      </c>
      <c r="LEX378" t="s">
        <v>199</v>
      </c>
      <c r="LEY378" t="s">
        <v>25</v>
      </c>
      <c r="LEZ378">
        <v>24</v>
      </c>
      <c r="LFA378">
        <v>0.05</v>
      </c>
      <c r="LFB378">
        <v>1</v>
      </c>
      <c r="LFC378" t="s">
        <v>531</v>
      </c>
      <c r="LFD378" t="str">
        <f>"628669010033"</f>
        <v>628669010033</v>
      </c>
      <c r="LFE378" t="str">
        <f>"0419671"</f>
        <v>0419671</v>
      </c>
      <c r="LFF378" t="s">
        <v>199</v>
      </c>
      <c r="LFG378" t="s">
        <v>25</v>
      </c>
      <c r="LFH378">
        <v>24</v>
      </c>
      <c r="LFI378">
        <v>0.05</v>
      </c>
      <c r="LFJ378">
        <v>1</v>
      </c>
      <c r="LFK378" t="s">
        <v>531</v>
      </c>
      <c r="LFL378" t="str">
        <f>"628669010033"</f>
        <v>628669010033</v>
      </c>
      <c r="LFM378" t="str">
        <f>"0419671"</f>
        <v>0419671</v>
      </c>
      <c r="LFN378" t="s">
        <v>199</v>
      </c>
      <c r="LFO378" t="s">
        <v>25</v>
      </c>
      <c r="LFP378">
        <v>24</v>
      </c>
      <c r="LFQ378">
        <v>0.05</v>
      </c>
      <c r="LFR378">
        <v>1</v>
      </c>
      <c r="LFS378" t="s">
        <v>531</v>
      </c>
      <c r="LFT378" t="str">
        <f>"628669010033"</f>
        <v>628669010033</v>
      </c>
      <c r="LFU378" t="str">
        <f>"0419671"</f>
        <v>0419671</v>
      </c>
      <c r="LFV378" t="s">
        <v>199</v>
      </c>
      <c r="LFW378" t="s">
        <v>25</v>
      </c>
      <c r="LFX378">
        <v>24</v>
      </c>
      <c r="LFY378">
        <v>0.05</v>
      </c>
      <c r="LFZ378">
        <v>1</v>
      </c>
      <c r="LGA378" t="s">
        <v>531</v>
      </c>
      <c r="LGB378" t="str">
        <f>"628669010033"</f>
        <v>628669010033</v>
      </c>
      <c r="LGC378" t="str">
        <f>"0419671"</f>
        <v>0419671</v>
      </c>
      <c r="LGD378" t="s">
        <v>199</v>
      </c>
      <c r="LGE378" t="s">
        <v>25</v>
      </c>
      <c r="LGF378">
        <v>24</v>
      </c>
      <c r="LGG378">
        <v>0.05</v>
      </c>
      <c r="LGH378">
        <v>1</v>
      </c>
      <c r="LGI378" t="s">
        <v>531</v>
      </c>
      <c r="LGJ378" t="str">
        <f>"628669010033"</f>
        <v>628669010033</v>
      </c>
      <c r="LGK378" t="str">
        <f>"0419671"</f>
        <v>0419671</v>
      </c>
      <c r="LGL378" t="s">
        <v>199</v>
      </c>
      <c r="LGM378" t="s">
        <v>25</v>
      </c>
      <c r="LGN378">
        <v>24</v>
      </c>
      <c r="LGO378">
        <v>0.05</v>
      </c>
      <c r="LGP378">
        <v>1</v>
      </c>
      <c r="LGQ378" t="s">
        <v>531</v>
      </c>
      <c r="LGR378" t="str">
        <f>"628669010033"</f>
        <v>628669010033</v>
      </c>
      <c r="LGS378" t="str">
        <f>"0419671"</f>
        <v>0419671</v>
      </c>
      <c r="LGT378" t="s">
        <v>199</v>
      </c>
      <c r="LGU378" t="s">
        <v>25</v>
      </c>
      <c r="LGV378">
        <v>24</v>
      </c>
      <c r="LGW378">
        <v>0.05</v>
      </c>
      <c r="LGX378">
        <v>1</v>
      </c>
      <c r="LGY378" t="s">
        <v>531</v>
      </c>
      <c r="LGZ378" t="str">
        <f>"628669010033"</f>
        <v>628669010033</v>
      </c>
      <c r="LHA378" t="str">
        <f>"0419671"</f>
        <v>0419671</v>
      </c>
      <c r="LHB378" t="s">
        <v>199</v>
      </c>
      <c r="LHC378" t="s">
        <v>25</v>
      </c>
      <c r="LHD378">
        <v>24</v>
      </c>
      <c r="LHE378">
        <v>0.05</v>
      </c>
      <c r="LHF378">
        <v>1</v>
      </c>
      <c r="LHG378" t="s">
        <v>531</v>
      </c>
      <c r="LHH378" t="str">
        <f>"628669010033"</f>
        <v>628669010033</v>
      </c>
      <c r="LHI378" t="str">
        <f>"0419671"</f>
        <v>0419671</v>
      </c>
      <c r="LHJ378" t="s">
        <v>199</v>
      </c>
      <c r="LHK378" t="s">
        <v>25</v>
      </c>
      <c r="LHL378">
        <v>24</v>
      </c>
      <c r="LHM378">
        <v>0.05</v>
      </c>
      <c r="LHN378">
        <v>1</v>
      </c>
      <c r="LHO378" t="s">
        <v>531</v>
      </c>
      <c r="LHP378" t="str">
        <f>"628669010033"</f>
        <v>628669010033</v>
      </c>
      <c r="LHQ378" t="str">
        <f>"0419671"</f>
        <v>0419671</v>
      </c>
      <c r="LHR378" t="s">
        <v>199</v>
      </c>
      <c r="LHS378" t="s">
        <v>25</v>
      </c>
      <c r="LHT378">
        <v>24</v>
      </c>
      <c r="LHU378">
        <v>0.05</v>
      </c>
      <c r="LHV378">
        <v>1</v>
      </c>
      <c r="LHW378" t="s">
        <v>531</v>
      </c>
      <c r="LHX378" t="str">
        <f>"628669010033"</f>
        <v>628669010033</v>
      </c>
      <c r="LHY378" t="str">
        <f>"0419671"</f>
        <v>0419671</v>
      </c>
      <c r="LHZ378" t="s">
        <v>199</v>
      </c>
      <c r="LIA378" t="s">
        <v>25</v>
      </c>
      <c r="LIB378">
        <v>24</v>
      </c>
      <c r="LIC378">
        <v>0.05</v>
      </c>
      <c r="LID378">
        <v>1</v>
      </c>
      <c r="LIE378" t="s">
        <v>531</v>
      </c>
      <c r="LIF378" t="str">
        <f>"628669010033"</f>
        <v>628669010033</v>
      </c>
      <c r="LIG378" t="str">
        <f>"0419671"</f>
        <v>0419671</v>
      </c>
      <c r="LIH378" t="s">
        <v>199</v>
      </c>
      <c r="LII378" t="s">
        <v>25</v>
      </c>
      <c r="LIJ378">
        <v>24</v>
      </c>
      <c r="LIK378">
        <v>0.05</v>
      </c>
      <c r="LIL378">
        <v>1</v>
      </c>
      <c r="LIM378" t="s">
        <v>531</v>
      </c>
      <c r="LIN378" t="str">
        <f>"628669010033"</f>
        <v>628669010033</v>
      </c>
      <c r="LIO378" t="str">
        <f>"0419671"</f>
        <v>0419671</v>
      </c>
      <c r="LIP378" t="s">
        <v>199</v>
      </c>
      <c r="LIQ378" t="s">
        <v>25</v>
      </c>
      <c r="LIR378">
        <v>24</v>
      </c>
      <c r="LIS378">
        <v>0.05</v>
      </c>
      <c r="LIT378">
        <v>1</v>
      </c>
      <c r="LIU378" t="s">
        <v>531</v>
      </c>
      <c r="LIV378" t="str">
        <f>"628669010033"</f>
        <v>628669010033</v>
      </c>
      <c r="LIW378" t="str">
        <f>"0419671"</f>
        <v>0419671</v>
      </c>
      <c r="LIX378" t="s">
        <v>199</v>
      </c>
      <c r="LIY378" t="s">
        <v>25</v>
      </c>
      <c r="LIZ378">
        <v>24</v>
      </c>
      <c r="LJA378">
        <v>0.05</v>
      </c>
      <c r="LJB378">
        <v>1</v>
      </c>
      <c r="LJC378" t="s">
        <v>531</v>
      </c>
      <c r="LJD378" t="str">
        <f>"628669010033"</f>
        <v>628669010033</v>
      </c>
      <c r="LJE378" t="str">
        <f>"0419671"</f>
        <v>0419671</v>
      </c>
      <c r="LJF378" t="s">
        <v>199</v>
      </c>
      <c r="LJG378" t="s">
        <v>25</v>
      </c>
      <c r="LJH378">
        <v>24</v>
      </c>
      <c r="LJI378">
        <v>0.05</v>
      </c>
      <c r="LJJ378">
        <v>1</v>
      </c>
      <c r="LJK378" t="s">
        <v>531</v>
      </c>
      <c r="LJL378" t="str">
        <f>"628669010033"</f>
        <v>628669010033</v>
      </c>
      <c r="LJM378" t="str">
        <f>"0419671"</f>
        <v>0419671</v>
      </c>
      <c r="LJN378" t="s">
        <v>199</v>
      </c>
      <c r="LJO378" t="s">
        <v>25</v>
      </c>
      <c r="LJP378">
        <v>24</v>
      </c>
      <c r="LJQ378">
        <v>0.05</v>
      </c>
      <c r="LJR378">
        <v>1</v>
      </c>
      <c r="LJS378" t="s">
        <v>531</v>
      </c>
      <c r="LJT378" t="str">
        <f>"628669010033"</f>
        <v>628669010033</v>
      </c>
      <c r="LJU378" t="str">
        <f>"0419671"</f>
        <v>0419671</v>
      </c>
      <c r="LJV378" t="s">
        <v>199</v>
      </c>
      <c r="LJW378" t="s">
        <v>25</v>
      </c>
      <c r="LJX378">
        <v>24</v>
      </c>
      <c r="LJY378">
        <v>0.05</v>
      </c>
      <c r="LJZ378">
        <v>1</v>
      </c>
      <c r="LKA378" t="s">
        <v>531</v>
      </c>
      <c r="LKB378" t="str">
        <f>"628669010033"</f>
        <v>628669010033</v>
      </c>
      <c r="LKC378" t="str">
        <f>"0419671"</f>
        <v>0419671</v>
      </c>
      <c r="LKD378" t="s">
        <v>199</v>
      </c>
      <c r="LKE378" t="s">
        <v>25</v>
      </c>
      <c r="LKF378">
        <v>24</v>
      </c>
      <c r="LKG378">
        <v>0.05</v>
      </c>
      <c r="LKH378">
        <v>1</v>
      </c>
      <c r="LKI378" t="s">
        <v>531</v>
      </c>
      <c r="LKJ378" t="str">
        <f>"628669010033"</f>
        <v>628669010033</v>
      </c>
      <c r="LKK378" t="str">
        <f>"0419671"</f>
        <v>0419671</v>
      </c>
      <c r="LKL378" t="s">
        <v>199</v>
      </c>
      <c r="LKM378" t="s">
        <v>25</v>
      </c>
      <c r="LKN378">
        <v>24</v>
      </c>
      <c r="LKO378">
        <v>0.05</v>
      </c>
      <c r="LKP378">
        <v>1</v>
      </c>
      <c r="LKQ378" t="s">
        <v>531</v>
      </c>
      <c r="LKR378" t="str">
        <f>"628669010033"</f>
        <v>628669010033</v>
      </c>
      <c r="LKS378" t="str">
        <f>"0419671"</f>
        <v>0419671</v>
      </c>
      <c r="LKT378" t="s">
        <v>199</v>
      </c>
      <c r="LKU378" t="s">
        <v>25</v>
      </c>
      <c r="LKV378">
        <v>24</v>
      </c>
      <c r="LKW378">
        <v>0.05</v>
      </c>
      <c r="LKX378">
        <v>1</v>
      </c>
      <c r="LKY378" t="s">
        <v>531</v>
      </c>
      <c r="LKZ378" t="str">
        <f>"628669010033"</f>
        <v>628669010033</v>
      </c>
      <c r="LLA378" t="str">
        <f>"0419671"</f>
        <v>0419671</v>
      </c>
      <c r="LLB378" t="s">
        <v>199</v>
      </c>
      <c r="LLC378" t="s">
        <v>25</v>
      </c>
      <c r="LLD378">
        <v>24</v>
      </c>
      <c r="LLE378">
        <v>0.05</v>
      </c>
      <c r="LLF378">
        <v>1</v>
      </c>
      <c r="LLG378" t="s">
        <v>531</v>
      </c>
      <c r="LLH378" t="str">
        <f>"628669010033"</f>
        <v>628669010033</v>
      </c>
      <c r="LLI378" t="str">
        <f>"0419671"</f>
        <v>0419671</v>
      </c>
      <c r="LLJ378" t="s">
        <v>199</v>
      </c>
      <c r="LLK378" t="s">
        <v>25</v>
      </c>
      <c r="LLL378">
        <v>24</v>
      </c>
      <c r="LLM378">
        <v>0.05</v>
      </c>
      <c r="LLN378">
        <v>1</v>
      </c>
      <c r="LLO378" t="s">
        <v>531</v>
      </c>
      <c r="LLP378" t="str">
        <f>"628669010033"</f>
        <v>628669010033</v>
      </c>
      <c r="LLQ378" t="str">
        <f>"0419671"</f>
        <v>0419671</v>
      </c>
      <c r="LLR378" t="s">
        <v>199</v>
      </c>
      <c r="LLS378" t="s">
        <v>25</v>
      </c>
      <c r="LLT378">
        <v>24</v>
      </c>
      <c r="LLU378">
        <v>0.05</v>
      </c>
      <c r="LLV378">
        <v>1</v>
      </c>
      <c r="LLW378" t="s">
        <v>531</v>
      </c>
      <c r="LLX378" t="str">
        <f>"628669010033"</f>
        <v>628669010033</v>
      </c>
      <c r="LLY378" t="str">
        <f>"0419671"</f>
        <v>0419671</v>
      </c>
      <c r="LLZ378" t="s">
        <v>199</v>
      </c>
      <c r="LMA378" t="s">
        <v>25</v>
      </c>
      <c r="LMB378">
        <v>24</v>
      </c>
      <c r="LMC378">
        <v>0.05</v>
      </c>
      <c r="LMD378">
        <v>1</v>
      </c>
      <c r="LME378" t="s">
        <v>531</v>
      </c>
      <c r="LMF378" t="str">
        <f>"628669010033"</f>
        <v>628669010033</v>
      </c>
      <c r="LMG378" t="str">
        <f>"0419671"</f>
        <v>0419671</v>
      </c>
      <c r="LMH378" t="s">
        <v>199</v>
      </c>
      <c r="LMI378" t="s">
        <v>25</v>
      </c>
      <c r="LMJ378">
        <v>24</v>
      </c>
      <c r="LMK378">
        <v>0.05</v>
      </c>
      <c r="LML378">
        <v>1</v>
      </c>
      <c r="LMM378" t="s">
        <v>531</v>
      </c>
      <c r="LMN378" t="str">
        <f>"628669010033"</f>
        <v>628669010033</v>
      </c>
      <c r="LMO378" t="str">
        <f>"0419671"</f>
        <v>0419671</v>
      </c>
      <c r="LMP378" t="s">
        <v>199</v>
      </c>
      <c r="LMQ378" t="s">
        <v>25</v>
      </c>
      <c r="LMR378">
        <v>24</v>
      </c>
      <c r="LMS378">
        <v>0.05</v>
      </c>
      <c r="LMT378">
        <v>1</v>
      </c>
      <c r="LMU378" t="s">
        <v>531</v>
      </c>
      <c r="LMV378" t="str">
        <f>"628669010033"</f>
        <v>628669010033</v>
      </c>
      <c r="LMW378" t="str">
        <f>"0419671"</f>
        <v>0419671</v>
      </c>
      <c r="LMX378" t="s">
        <v>199</v>
      </c>
      <c r="LMY378" t="s">
        <v>25</v>
      </c>
      <c r="LMZ378">
        <v>24</v>
      </c>
      <c r="LNA378">
        <v>0.05</v>
      </c>
      <c r="LNB378">
        <v>1</v>
      </c>
      <c r="LNC378" t="s">
        <v>531</v>
      </c>
      <c r="LND378" t="str">
        <f>"628669010033"</f>
        <v>628669010033</v>
      </c>
      <c r="LNE378" t="str">
        <f>"0419671"</f>
        <v>0419671</v>
      </c>
      <c r="LNF378" t="s">
        <v>199</v>
      </c>
      <c r="LNG378" t="s">
        <v>25</v>
      </c>
      <c r="LNH378">
        <v>24</v>
      </c>
      <c r="LNI378">
        <v>0.05</v>
      </c>
      <c r="LNJ378">
        <v>1</v>
      </c>
      <c r="LNK378" t="s">
        <v>531</v>
      </c>
      <c r="LNL378" t="str">
        <f>"628669010033"</f>
        <v>628669010033</v>
      </c>
      <c r="LNM378" t="str">
        <f>"0419671"</f>
        <v>0419671</v>
      </c>
      <c r="LNN378" t="s">
        <v>199</v>
      </c>
      <c r="LNO378" t="s">
        <v>25</v>
      </c>
      <c r="LNP378">
        <v>24</v>
      </c>
      <c r="LNQ378">
        <v>0.05</v>
      </c>
      <c r="LNR378">
        <v>1</v>
      </c>
      <c r="LNS378" t="s">
        <v>531</v>
      </c>
      <c r="LNT378" t="str">
        <f>"628669010033"</f>
        <v>628669010033</v>
      </c>
      <c r="LNU378" t="str">
        <f>"0419671"</f>
        <v>0419671</v>
      </c>
      <c r="LNV378" t="s">
        <v>199</v>
      </c>
      <c r="LNW378" t="s">
        <v>25</v>
      </c>
      <c r="LNX378">
        <v>24</v>
      </c>
      <c r="LNY378">
        <v>0.05</v>
      </c>
      <c r="LNZ378">
        <v>1</v>
      </c>
      <c r="LOA378" t="s">
        <v>531</v>
      </c>
      <c r="LOB378" t="str">
        <f>"628669010033"</f>
        <v>628669010033</v>
      </c>
      <c r="LOC378" t="str">
        <f>"0419671"</f>
        <v>0419671</v>
      </c>
      <c r="LOD378" t="s">
        <v>199</v>
      </c>
      <c r="LOE378" t="s">
        <v>25</v>
      </c>
      <c r="LOF378">
        <v>24</v>
      </c>
      <c r="LOG378">
        <v>0.05</v>
      </c>
      <c r="LOH378">
        <v>1</v>
      </c>
      <c r="LOI378" t="s">
        <v>531</v>
      </c>
      <c r="LOJ378" t="str">
        <f>"628669010033"</f>
        <v>628669010033</v>
      </c>
      <c r="LOK378" t="str">
        <f>"0419671"</f>
        <v>0419671</v>
      </c>
      <c r="LOL378" t="s">
        <v>199</v>
      </c>
      <c r="LOM378" t="s">
        <v>25</v>
      </c>
      <c r="LON378">
        <v>24</v>
      </c>
      <c r="LOO378">
        <v>0.05</v>
      </c>
      <c r="LOP378">
        <v>1</v>
      </c>
      <c r="LOQ378" t="s">
        <v>531</v>
      </c>
      <c r="LOR378" t="str">
        <f>"628669010033"</f>
        <v>628669010033</v>
      </c>
      <c r="LOS378" t="str">
        <f>"0419671"</f>
        <v>0419671</v>
      </c>
      <c r="LOT378" t="s">
        <v>199</v>
      </c>
      <c r="LOU378" t="s">
        <v>25</v>
      </c>
      <c r="LOV378">
        <v>24</v>
      </c>
      <c r="LOW378">
        <v>0.05</v>
      </c>
      <c r="LOX378">
        <v>1</v>
      </c>
      <c r="LOY378" t="s">
        <v>531</v>
      </c>
      <c r="LOZ378" t="str">
        <f>"628669010033"</f>
        <v>628669010033</v>
      </c>
      <c r="LPA378" t="str">
        <f>"0419671"</f>
        <v>0419671</v>
      </c>
      <c r="LPB378" t="s">
        <v>199</v>
      </c>
      <c r="LPC378" t="s">
        <v>25</v>
      </c>
      <c r="LPD378">
        <v>24</v>
      </c>
      <c r="LPE378">
        <v>0.05</v>
      </c>
      <c r="LPF378">
        <v>1</v>
      </c>
      <c r="LPG378" t="s">
        <v>531</v>
      </c>
      <c r="LPH378" t="str">
        <f>"628669010033"</f>
        <v>628669010033</v>
      </c>
      <c r="LPI378" t="str">
        <f>"0419671"</f>
        <v>0419671</v>
      </c>
      <c r="LPJ378" t="s">
        <v>199</v>
      </c>
      <c r="LPK378" t="s">
        <v>25</v>
      </c>
      <c r="LPL378">
        <v>24</v>
      </c>
      <c r="LPM378">
        <v>0.05</v>
      </c>
      <c r="LPN378">
        <v>1</v>
      </c>
      <c r="LPO378" t="s">
        <v>531</v>
      </c>
      <c r="LPP378" t="str">
        <f>"628669010033"</f>
        <v>628669010033</v>
      </c>
      <c r="LPQ378" t="str">
        <f>"0419671"</f>
        <v>0419671</v>
      </c>
      <c r="LPR378" t="s">
        <v>199</v>
      </c>
      <c r="LPS378" t="s">
        <v>25</v>
      </c>
      <c r="LPT378">
        <v>24</v>
      </c>
      <c r="LPU378">
        <v>0.05</v>
      </c>
      <c r="LPV378">
        <v>1</v>
      </c>
      <c r="LPW378" t="s">
        <v>531</v>
      </c>
      <c r="LPX378" t="str">
        <f>"628669010033"</f>
        <v>628669010033</v>
      </c>
      <c r="LPY378" t="str">
        <f>"0419671"</f>
        <v>0419671</v>
      </c>
      <c r="LPZ378" t="s">
        <v>199</v>
      </c>
      <c r="LQA378" t="s">
        <v>25</v>
      </c>
      <c r="LQB378">
        <v>24</v>
      </c>
      <c r="LQC378">
        <v>0.05</v>
      </c>
      <c r="LQD378">
        <v>1</v>
      </c>
      <c r="LQE378" t="s">
        <v>531</v>
      </c>
      <c r="LQF378" t="str">
        <f>"628669010033"</f>
        <v>628669010033</v>
      </c>
      <c r="LQG378" t="str">
        <f>"0419671"</f>
        <v>0419671</v>
      </c>
      <c r="LQH378" t="s">
        <v>199</v>
      </c>
      <c r="LQI378" t="s">
        <v>25</v>
      </c>
      <c r="LQJ378">
        <v>24</v>
      </c>
      <c r="LQK378">
        <v>0.05</v>
      </c>
      <c r="LQL378">
        <v>1</v>
      </c>
      <c r="LQM378" t="s">
        <v>531</v>
      </c>
      <c r="LQN378" t="str">
        <f>"628669010033"</f>
        <v>628669010033</v>
      </c>
      <c r="LQO378" t="str">
        <f>"0419671"</f>
        <v>0419671</v>
      </c>
      <c r="LQP378" t="s">
        <v>199</v>
      </c>
      <c r="LQQ378" t="s">
        <v>25</v>
      </c>
      <c r="LQR378">
        <v>24</v>
      </c>
      <c r="LQS378">
        <v>0.05</v>
      </c>
      <c r="LQT378">
        <v>1</v>
      </c>
      <c r="LQU378" t="s">
        <v>531</v>
      </c>
      <c r="LQV378" t="str">
        <f>"628669010033"</f>
        <v>628669010033</v>
      </c>
      <c r="LQW378" t="str">
        <f>"0419671"</f>
        <v>0419671</v>
      </c>
      <c r="LQX378" t="s">
        <v>199</v>
      </c>
      <c r="LQY378" t="s">
        <v>25</v>
      </c>
      <c r="LQZ378">
        <v>24</v>
      </c>
      <c r="LRA378">
        <v>0.05</v>
      </c>
      <c r="LRB378">
        <v>1</v>
      </c>
      <c r="LRC378" t="s">
        <v>531</v>
      </c>
      <c r="LRD378" t="str">
        <f>"628669010033"</f>
        <v>628669010033</v>
      </c>
      <c r="LRE378" t="str">
        <f>"0419671"</f>
        <v>0419671</v>
      </c>
      <c r="LRF378" t="s">
        <v>199</v>
      </c>
      <c r="LRG378" t="s">
        <v>25</v>
      </c>
      <c r="LRH378">
        <v>24</v>
      </c>
      <c r="LRI378">
        <v>0.05</v>
      </c>
      <c r="LRJ378">
        <v>1</v>
      </c>
      <c r="LRK378" t="s">
        <v>531</v>
      </c>
      <c r="LRL378" t="str">
        <f>"628669010033"</f>
        <v>628669010033</v>
      </c>
      <c r="LRM378" t="str">
        <f>"0419671"</f>
        <v>0419671</v>
      </c>
      <c r="LRN378" t="s">
        <v>199</v>
      </c>
      <c r="LRO378" t="s">
        <v>25</v>
      </c>
      <c r="LRP378">
        <v>24</v>
      </c>
      <c r="LRQ378">
        <v>0.05</v>
      </c>
      <c r="LRR378">
        <v>1</v>
      </c>
      <c r="LRS378" t="s">
        <v>531</v>
      </c>
      <c r="LRT378" t="str">
        <f>"628669010033"</f>
        <v>628669010033</v>
      </c>
      <c r="LRU378" t="str">
        <f>"0419671"</f>
        <v>0419671</v>
      </c>
      <c r="LRV378" t="s">
        <v>199</v>
      </c>
      <c r="LRW378" t="s">
        <v>25</v>
      </c>
      <c r="LRX378">
        <v>24</v>
      </c>
      <c r="LRY378">
        <v>0.05</v>
      </c>
      <c r="LRZ378">
        <v>1</v>
      </c>
      <c r="LSA378" t="s">
        <v>531</v>
      </c>
      <c r="LSB378" t="str">
        <f>"628669010033"</f>
        <v>628669010033</v>
      </c>
      <c r="LSC378" t="str">
        <f>"0419671"</f>
        <v>0419671</v>
      </c>
      <c r="LSD378" t="s">
        <v>199</v>
      </c>
      <c r="LSE378" t="s">
        <v>25</v>
      </c>
      <c r="LSF378">
        <v>24</v>
      </c>
      <c r="LSG378">
        <v>0.05</v>
      </c>
      <c r="LSH378">
        <v>1</v>
      </c>
      <c r="LSI378" t="s">
        <v>531</v>
      </c>
      <c r="LSJ378" t="str">
        <f>"628669010033"</f>
        <v>628669010033</v>
      </c>
      <c r="LSK378" t="str">
        <f>"0419671"</f>
        <v>0419671</v>
      </c>
      <c r="LSL378" t="s">
        <v>199</v>
      </c>
      <c r="LSM378" t="s">
        <v>25</v>
      </c>
      <c r="LSN378">
        <v>24</v>
      </c>
      <c r="LSO378">
        <v>0.05</v>
      </c>
      <c r="LSP378">
        <v>1</v>
      </c>
      <c r="LSQ378" t="s">
        <v>531</v>
      </c>
      <c r="LSR378" t="str">
        <f>"628669010033"</f>
        <v>628669010033</v>
      </c>
      <c r="LSS378" t="str">
        <f>"0419671"</f>
        <v>0419671</v>
      </c>
      <c r="LST378" t="s">
        <v>199</v>
      </c>
      <c r="LSU378" t="s">
        <v>25</v>
      </c>
      <c r="LSV378">
        <v>24</v>
      </c>
      <c r="LSW378">
        <v>0.05</v>
      </c>
      <c r="LSX378">
        <v>1</v>
      </c>
      <c r="LSY378" t="s">
        <v>531</v>
      </c>
      <c r="LSZ378" t="str">
        <f>"628669010033"</f>
        <v>628669010033</v>
      </c>
      <c r="LTA378" t="str">
        <f>"0419671"</f>
        <v>0419671</v>
      </c>
      <c r="LTB378" t="s">
        <v>199</v>
      </c>
      <c r="LTC378" t="s">
        <v>25</v>
      </c>
      <c r="LTD378">
        <v>24</v>
      </c>
      <c r="LTE378">
        <v>0.05</v>
      </c>
      <c r="LTF378">
        <v>1</v>
      </c>
      <c r="LTG378" t="s">
        <v>531</v>
      </c>
      <c r="LTH378" t="str">
        <f>"628669010033"</f>
        <v>628669010033</v>
      </c>
      <c r="LTI378" t="str">
        <f>"0419671"</f>
        <v>0419671</v>
      </c>
      <c r="LTJ378" t="s">
        <v>199</v>
      </c>
      <c r="LTK378" t="s">
        <v>25</v>
      </c>
      <c r="LTL378">
        <v>24</v>
      </c>
      <c r="LTM378">
        <v>0.05</v>
      </c>
      <c r="LTN378">
        <v>1</v>
      </c>
      <c r="LTO378" t="s">
        <v>531</v>
      </c>
      <c r="LTP378" t="str">
        <f>"628669010033"</f>
        <v>628669010033</v>
      </c>
      <c r="LTQ378" t="str">
        <f>"0419671"</f>
        <v>0419671</v>
      </c>
      <c r="LTR378" t="s">
        <v>199</v>
      </c>
      <c r="LTS378" t="s">
        <v>25</v>
      </c>
      <c r="LTT378">
        <v>24</v>
      </c>
      <c r="LTU378">
        <v>0.05</v>
      </c>
      <c r="LTV378">
        <v>1</v>
      </c>
      <c r="LTW378" t="s">
        <v>531</v>
      </c>
      <c r="LTX378" t="str">
        <f>"628669010033"</f>
        <v>628669010033</v>
      </c>
      <c r="LTY378" t="str">
        <f>"0419671"</f>
        <v>0419671</v>
      </c>
      <c r="LTZ378" t="s">
        <v>199</v>
      </c>
      <c r="LUA378" t="s">
        <v>25</v>
      </c>
      <c r="LUB378">
        <v>24</v>
      </c>
      <c r="LUC378">
        <v>0.05</v>
      </c>
      <c r="LUD378">
        <v>1</v>
      </c>
      <c r="LUE378" t="s">
        <v>531</v>
      </c>
      <c r="LUF378" t="str">
        <f>"628669010033"</f>
        <v>628669010033</v>
      </c>
      <c r="LUG378" t="str">
        <f>"0419671"</f>
        <v>0419671</v>
      </c>
      <c r="LUH378" t="s">
        <v>199</v>
      </c>
      <c r="LUI378" t="s">
        <v>25</v>
      </c>
      <c r="LUJ378">
        <v>24</v>
      </c>
      <c r="LUK378">
        <v>0.05</v>
      </c>
      <c r="LUL378">
        <v>1</v>
      </c>
      <c r="LUM378" t="s">
        <v>531</v>
      </c>
      <c r="LUN378" t="str">
        <f>"628669010033"</f>
        <v>628669010033</v>
      </c>
      <c r="LUO378" t="str">
        <f>"0419671"</f>
        <v>0419671</v>
      </c>
      <c r="LUP378" t="s">
        <v>199</v>
      </c>
      <c r="LUQ378" t="s">
        <v>25</v>
      </c>
      <c r="LUR378">
        <v>24</v>
      </c>
      <c r="LUS378">
        <v>0.05</v>
      </c>
      <c r="LUT378">
        <v>1</v>
      </c>
      <c r="LUU378" t="s">
        <v>531</v>
      </c>
      <c r="LUV378" t="str">
        <f>"628669010033"</f>
        <v>628669010033</v>
      </c>
      <c r="LUW378" t="str">
        <f>"0419671"</f>
        <v>0419671</v>
      </c>
      <c r="LUX378" t="s">
        <v>199</v>
      </c>
      <c r="LUY378" t="s">
        <v>25</v>
      </c>
      <c r="LUZ378">
        <v>24</v>
      </c>
      <c r="LVA378">
        <v>0.05</v>
      </c>
      <c r="LVB378">
        <v>1</v>
      </c>
      <c r="LVC378" t="s">
        <v>531</v>
      </c>
      <c r="LVD378" t="str">
        <f>"628669010033"</f>
        <v>628669010033</v>
      </c>
      <c r="LVE378" t="str">
        <f>"0419671"</f>
        <v>0419671</v>
      </c>
      <c r="LVF378" t="s">
        <v>199</v>
      </c>
      <c r="LVG378" t="s">
        <v>25</v>
      </c>
      <c r="LVH378">
        <v>24</v>
      </c>
      <c r="LVI378">
        <v>0.05</v>
      </c>
      <c r="LVJ378">
        <v>1</v>
      </c>
      <c r="LVK378" t="s">
        <v>531</v>
      </c>
      <c r="LVL378" t="str">
        <f>"628669010033"</f>
        <v>628669010033</v>
      </c>
      <c r="LVM378" t="str">
        <f>"0419671"</f>
        <v>0419671</v>
      </c>
      <c r="LVN378" t="s">
        <v>199</v>
      </c>
      <c r="LVO378" t="s">
        <v>25</v>
      </c>
      <c r="LVP378">
        <v>24</v>
      </c>
      <c r="LVQ378">
        <v>0.05</v>
      </c>
      <c r="LVR378">
        <v>1</v>
      </c>
      <c r="LVS378" t="s">
        <v>531</v>
      </c>
      <c r="LVT378" t="str">
        <f>"628669010033"</f>
        <v>628669010033</v>
      </c>
      <c r="LVU378" t="str">
        <f>"0419671"</f>
        <v>0419671</v>
      </c>
      <c r="LVV378" t="s">
        <v>199</v>
      </c>
      <c r="LVW378" t="s">
        <v>25</v>
      </c>
      <c r="LVX378">
        <v>24</v>
      </c>
      <c r="LVY378">
        <v>0.05</v>
      </c>
      <c r="LVZ378">
        <v>1</v>
      </c>
      <c r="LWA378" t="s">
        <v>531</v>
      </c>
      <c r="LWB378" t="str">
        <f>"628669010033"</f>
        <v>628669010033</v>
      </c>
      <c r="LWC378" t="str">
        <f>"0419671"</f>
        <v>0419671</v>
      </c>
      <c r="LWD378" t="s">
        <v>199</v>
      </c>
      <c r="LWE378" t="s">
        <v>25</v>
      </c>
      <c r="LWF378">
        <v>24</v>
      </c>
      <c r="LWG378">
        <v>0.05</v>
      </c>
      <c r="LWH378">
        <v>1</v>
      </c>
      <c r="LWI378" t="s">
        <v>531</v>
      </c>
      <c r="LWJ378" t="str">
        <f>"628669010033"</f>
        <v>628669010033</v>
      </c>
      <c r="LWK378" t="str">
        <f>"0419671"</f>
        <v>0419671</v>
      </c>
      <c r="LWL378" t="s">
        <v>199</v>
      </c>
      <c r="LWM378" t="s">
        <v>25</v>
      </c>
      <c r="LWN378">
        <v>24</v>
      </c>
      <c r="LWO378">
        <v>0.05</v>
      </c>
      <c r="LWP378">
        <v>1</v>
      </c>
      <c r="LWQ378" t="s">
        <v>531</v>
      </c>
      <c r="LWR378" t="str">
        <f>"628669010033"</f>
        <v>628669010033</v>
      </c>
      <c r="LWS378" t="str">
        <f>"0419671"</f>
        <v>0419671</v>
      </c>
      <c r="LWT378" t="s">
        <v>199</v>
      </c>
      <c r="LWU378" t="s">
        <v>25</v>
      </c>
      <c r="LWV378">
        <v>24</v>
      </c>
      <c r="LWW378">
        <v>0.05</v>
      </c>
      <c r="LWX378">
        <v>1</v>
      </c>
      <c r="LWY378" t="s">
        <v>531</v>
      </c>
      <c r="LWZ378" t="str">
        <f>"628669010033"</f>
        <v>628669010033</v>
      </c>
      <c r="LXA378" t="str">
        <f>"0419671"</f>
        <v>0419671</v>
      </c>
      <c r="LXB378" t="s">
        <v>199</v>
      </c>
      <c r="LXC378" t="s">
        <v>25</v>
      </c>
      <c r="LXD378">
        <v>24</v>
      </c>
      <c r="LXE378">
        <v>0.05</v>
      </c>
      <c r="LXF378">
        <v>1</v>
      </c>
      <c r="LXG378" t="s">
        <v>531</v>
      </c>
      <c r="LXH378" t="str">
        <f>"628669010033"</f>
        <v>628669010033</v>
      </c>
      <c r="LXI378" t="str">
        <f>"0419671"</f>
        <v>0419671</v>
      </c>
      <c r="LXJ378" t="s">
        <v>199</v>
      </c>
      <c r="LXK378" t="s">
        <v>25</v>
      </c>
      <c r="LXL378">
        <v>24</v>
      </c>
      <c r="LXM378">
        <v>0.05</v>
      </c>
      <c r="LXN378">
        <v>1</v>
      </c>
      <c r="LXO378" t="s">
        <v>531</v>
      </c>
      <c r="LXP378" t="str">
        <f>"628669010033"</f>
        <v>628669010033</v>
      </c>
      <c r="LXQ378" t="str">
        <f>"0419671"</f>
        <v>0419671</v>
      </c>
      <c r="LXR378" t="s">
        <v>199</v>
      </c>
      <c r="LXS378" t="s">
        <v>25</v>
      </c>
      <c r="LXT378">
        <v>24</v>
      </c>
      <c r="LXU378">
        <v>0.05</v>
      </c>
      <c r="LXV378">
        <v>1</v>
      </c>
      <c r="LXW378" t="s">
        <v>531</v>
      </c>
      <c r="LXX378" t="str">
        <f>"628669010033"</f>
        <v>628669010033</v>
      </c>
      <c r="LXY378" t="str">
        <f>"0419671"</f>
        <v>0419671</v>
      </c>
      <c r="LXZ378" t="s">
        <v>199</v>
      </c>
      <c r="LYA378" t="s">
        <v>25</v>
      </c>
      <c r="LYB378">
        <v>24</v>
      </c>
      <c r="LYC378">
        <v>0.05</v>
      </c>
      <c r="LYD378">
        <v>1</v>
      </c>
      <c r="LYE378" t="s">
        <v>531</v>
      </c>
      <c r="LYF378" t="str">
        <f>"628669010033"</f>
        <v>628669010033</v>
      </c>
      <c r="LYG378" t="str">
        <f>"0419671"</f>
        <v>0419671</v>
      </c>
      <c r="LYH378" t="s">
        <v>199</v>
      </c>
      <c r="LYI378" t="s">
        <v>25</v>
      </c>
      <c r="LYJ378">
        <v>24</v>
      </c>
      <c r="LYK378">
        <v>0.05</v>
      </c>
      <c r="LYL378">
        <v>1</v>
      </c>
      <c r="LYM378" t="s">
        <v>531</v>
      </c>
      <c r="LYN378" t="str">
        <f>"628669010033"</f>
        <v>628669010033</v>
      </c>
      <c r="LYO378" t="str">
        <f>"0419671"</f>
        <v>0419671</v>
      </c>
      <c r="LYP378" t="s">
        <v>199</v>
      </c>
      <c r="LYQ378" t="s">
        <v>25</v>
      </c>
      <c r="LYR378">
        <v>24</v>
      </c>
      <c r="LYS378">
        <v>0.05</v>
      </c>
      <c r="LYT378">
        <v>1</v>
      </c>
      <c r="LYU378" t="s">
        <v>531</v>
      </c>
      <c r="LYV378" t="str">
        <f>"628669010033"</f>
        <v>628669010033</v>
      </c>
      <c r="LYW378" t="str">
        <f>"0419671"</f>
        <v>0419671</v>
      </c>
      <c r="LYX378" t="s">
        <v>199</v>
      </c>
      <c r="LYY378" t="s">
        <v>25</v>
      </c>
      <c r="LYZ378">
        <v>24</v>
      </c>
      <c r="LZA378">
        <v>0.05</v>
      </c>
      <c r="LZB378">
        <v>1</v>
      </c>
      <c r="LZC378" t="s">
        <v>531</v>
      </c>
      <c r="LZD378" t="str">
        <f>"628669010033"</f>
        <v>628669010033</v>
      </c>
      <c r="LZE378" t="str">
        <f>"0419671"</f>
        <v>0419671</v>
      </c>
      <c r="LZF378" t="s">
        <v>199</v>
      </c>
      <c r="LZG378" t="s">
        <v>25</v>
      </c>
      <c r="LZH378">
        <v>24</v>
      </c>
      <c r="LZI378">
        <v>0.05</v>
      </c>
      <c r="LZJ378">
        <v>1</v>
      </c>
      <c r="LZK378" t="s">
        <v>531</v>
      </c>
      <c r="LZL378" t="str">
        <f>"628669010033"</f>
        <v>628669010033</v>
      </c>
      <c r="LZM378" t="str">
        <f>"0419671"</f>
        <v>0419671</v>
      </c>
      <c r="LZN378" t="s">
        <v>199</v>
      </c>
      <c r="LZO378" t="s">
        <v>25</v>
      </c>
      <c r="LZP378">
        <v>24</v>
      </c>
      <c r="LZQ378">
        <v>0.05</v>
      </c>
      <c r="LZR378">
        <v>1</v>
      </c>
      <c r="LZS378" t="s">
        <v>531</v>
      </c>
      <c r="LZT378" t="str">
        <f>"628669010033"</f>
        <v>628669010033</v>
      </c>
      <c r="LZU378" t="str">
        <f>"0419671"</f>
        <v>0419671</v>
      </c>
      <c r="LZV378" t="s">
        <v>199</v>
      </c>
      <c r="LZW378" t="s">
        <v>25</v>
      </c>
      <c r="LZX378">
        <v>24</v>
      </c>
      <c r="LZY378">
        <v>0.05</v>
      </c>
      <c r="LZZ378">
        <v>1</v>
      </c>
      <c r="MAA378" t="s">
        <v>531</v>
      </c>
      <c r="MAB378" t="str">
        <f>"628669010033"</f>
        <v>628669010033</v>
      </c>
      <c r="MAC378" t="str">
        <f>"0419671"</f>
        <v>0419671</v>
      </c>
      <c r="MAD378" t="s">
        <v>199</v>
      </c>
      <c r="MAE378" t="s">
        <v>25</v>
      </c>
      <c r="MAF378">
        <v>24</v>
      </c>
      <c r="MAG378">
        <v>0.05</v>
      </c>
      <c r="MAH378">
        <v>1</v>
      </c>
      <c r="MAI378" t="s">
        <v>531</v>
      </c>
      <c r="MAJ378" t="str">
        <f>"628669010033"</f>
        <v>628669010033</v>
      </c>
      <c r="MAK378" t="str">
        <f>"0419671"</f>
        <v>0419671</v>
      </c>
      <c r="MAL378" t="s">
        <v>199</v>
      </c>
      <c r="MAM378" t="s">
        <v>25</v>
      </c>
      <c r="MAN378">
        <v>24</v>
      </c>
      <c r="MAO378">
        <v>0.05</v>
      </c>
      <c r="MAP378">
        <v>1</v>
      </c>
      <c r="MAQ378" t="s">
        <v>531</v>
      </c>
      <c r="MAR378" t="str">
        <f>"628669010033"</f>
        <v>628669010033</v>
      </c>
      <c r="MAS378" t="str">
        <f>"0419671"</f>
        <v>0419671</v>
      </c>
      <c r="MAT378" t="s">
        <v>199</v>
      </c>
      <c r="MAU378" t="s">
        <v>25</v>
      </c>
      <c r="MAV378">
        <v>24</v>
      </c>
      <c r="MAW378">
        <v>0.05</v>
      </c>
      <c r="MAX378">
        <v>1</v>
      </c>
      <c r="MAY378" t="s">
        <v>531</v>
      </c>
      <c r="MAZ378" t="str">
        <f>"628669010033"</f>
        <v>628669010033</v>
      </c>
      <c r="MBA378" t="str">
        <f>"0419671"</f>
        <v>0419671</v>
      </c>
      <c r="MBB378" t="s">
        <v>199</v>
      </c>
      <c r="MBC378" t="s">
        <v>25</v>
      </c>
      <c r="MBD378">
        <v>24</v>
      </c>
      <c r="MBE378">
        <v>0.05</v>
      </c>
      <c r="MBF378">
        <v>1</v>
      </c>
      <c r="MBG378" t="s">
        <v>531</v>
      </c>
      <c r="MBH378" t="str">
        <f>"628669010033"</f>
        <v>628669010033</v>
      </c>
      <c r="MBI378" t="str">
        <f>"0419671"</f>
        <v>0419671</v>
      </c>
      <c r="MBJ378" t="s">
        <v>199</v>
      </c>
      <c r="MBK378" t="s">
        <v>25</v>
      </c>
      <c r="MBL378">
        <v>24</v>
      </c>
      <c r="MBM378">
        <v>0.05</v>
      </c>
      <c r="MBN378">
        <v>1</v>
      </c>
      <c r="MBO378" t="s">
        <v>531</v>
      </c>
      <c r="MBP378" t="str">
        <f>"628669010033"</f>
        <v>628669010033</v>
      </c>
      <c r="MBQ378" t="str">
        <f>"0419671"</f>
        <v>0419671</v>
      </c>
      <c r="MBR378" t="s">
        <v>199</v>
      </c>
      <c r="MBS378" t="s">
        <v>25</v>
      </c>
      <c r="MBT378">
        <v>24</v>
      </c>
      <c r="MBU378">
        <v>0.05</v>
      </c>
      <c r="MBV378">
        <v>1</v>
      </c>
      <c r="MBW378" t="s">
        <v>531</v>
      </c>
      <c r="MBX378" t="str">
        <f>"628669010033"</f>
        <v>628669010033</v>
      </c>
      <c r="MBY378" t="str">
        <f>"0419671"</f>
        <v>0419671</v>
      </c>
      <c r="MBZ378" t="s">
        <v>199</v>
      </c>
      <c r="MCA378" t="s">
        <v>25</v>
      </c>
      <c r="MCB378">
        <v>24</v>
      </c>
      <c r="MCC378">
        <v>0.05</v>
      </c>
      <c r="MCD378">
        <v>1</v>
      </c>
      <c r="MCE378" t="s">
        <v>531</v>
      </c>
      <c r="MCF378" t="str">
        <f>"628669010033"</f>
        <v>628669010033</v>
      </c>
      <c r="MCG378" t="str">
        <f>"0419671"</f>
        <v>0419671</v>
      </c>
      <c r="MCH378" t="s">
        <v>199</v>
      </c>
      <c r="MCI378" t="s">
        <v>25</v>
      </c>
      <c r="MCJ378">
        <v>24</v>
      </c>
      <c r="MCK378">
        <v>0.05</v>
      </c>
      <c r="MCL378">
        <v>1</v>
      </c>
      <c r="MCM378" t="s">
        <v>531</v>
      </c>
      <c r="MCN378" t="str">
        <f>"628669010033"</f>
        <v>628669010033</v>
      </c>
      <c r="MCO378" t="str">
        <f>"0419671"</f>
        <v>0419671</v>
      </c>
      <c r="MCP378" t="s">
        <v>199</v>
      </c>
      <c r="MCQ378" t="s">
        <v>25</v>
      </c>
      <c r="MCR378">
        <v>24</v>
      </c>
      <c r="MCS378">
        <v>0.05</v>
      </c>
      <c r="MCT378">
        <v>1</v>
      </c>
      <c r="MCU378" t="s">
        <v>531</v>
      </c>
      <c r="MCV378" t="str">
        <f>"628669010033"</f>
        <v>628669010033</v>
      </c>
      <c r="MCW378" t="str">
        <f>"0419671"</f>
        <v>0419671</v>
      </c>
      <c r="MCX378" t="s">
        <v>199</v>
      </c>
      <c r="MCY378" t="s">
        <v>25</v>
      </c>
      <c r="MCZ378">
        <v>24</v>
      </c>
      <c r="MDA378">
        <v>0.05</v>
      </c>
      <c r="MDB378">
        <v>1</v>
      </c>
      <c r="MDC378" t="s">
        <v>531</v>
      </c>
      <c r="MDD378" t="str">
        <f>"628669010033"</f>
        <v>628669010033</v>
      </c>
      <c r="MDE378" t="str">
        <f>"0419671"</f>
        <v>0419671</v>
      </c>
      <c r="MDF378" t="s">
        <v>199</v>
      </c>
      <c r="MDG378" t="s">
        <v>25</v>
      </c>
      <c r="MDH378">
        <v>24</v>
      </c>
      <c r="MDI378">
        <v>0.05</v>
      </c>
      <c r="MDJ378">
        <v>1</v>
      </c>
      <c r="MDK378" t="s">
        <v>531</v>
      </c>
      <c r="MDL378" t="str">
        <f>"628669010033"</f>
        <v>628669010033</v>
      </c>
      <c r="MDM378" t="str">
        <f>"0419671"</f>
        <v>0419671</v>
      </c>
      <c r="MDN378" t="s">
        <v>199</v>
      </c>
      <c r="MDO378" t="s">
        <v>25</v>
      </c>
      <c r="MDP378">
        <v>24</v>
      </c>
      <c r="MDQ378">
        <v>0.05</v>
      </c>
      <c r="MDR378">
        <v>1</v>
      </c>
      <c r="MDS378" t="s">
        <v>531</v>
      </c>
      <c r="MDT378" t="str">
        <f>"628669010033"</f>
        <v>628669010033</v>
      </c>
      <c r="MDU378" t="str">
        <f>"0419671"</f>
        <v>0419671</v>
      </c>
      <c r="MDV378" t="s">
        <v>199</v>
      </c>
      <c r="MDW378" t="s">
        <v>25</v>
      </c>
      <c r="MDX378">
        <v>24</v>
      </c>
      <c r="MDY378">
        <v>0.05</v>
      </c>
      <c r="MDZ378">
        <v>1</v>
      </c>
      <c r="MEA378" t="s">
        <v>531</v>
      </c>
      <c r="MEB378" t="str">
        <f>"628669010033"</f>
        <v>628669010033</v>
      </c>
      <c r="MEC378" t="str">
        <f>"0419671"</f>
        <v>0419671</v>
      </c>
      <c r="MED378" t="s">
        <v>199</v>
      </c>
      <c r="MEE378" t="s">
        <v>25</v>
      </c>
      <c r="MEF378">
        <v>24</v>
      </c>
      <c r="MEG378">
        <v>0.05</v>
      </c>
      <c r="MEH378">
        <v>1</v>
      </c>
      <c r="MEI378" t="s">
        <v>531</v>
      </c>
      <c r="MEJ378" t="str">
        <f>"628669010033"</f>
        <v>628669010033</v>
      </c>
      <c r="MEK378" t="str">
        <f>"0419671"</f>
        <v>0419671</v>
      </c>
      <c r="MEL378" t="s">
        <v>199</v>
      </c>
      <c r="MEM378" t="s">
        <v>25</v>
      </c>
      <c r="MEN378">
        <v>24</v>
      </c>
      <c r="MEO378">
        <v>0.05</v>
      </c>
      <c r="MEP378">
        <v>1</v>
      </c>
      <c r="MEQ378" t="s">
        <v>531</v>
      </c>
      <c r="MER378" t="str">
        <f>"628669010033"</f>
        <v>628669010033</v>
      </c>
      <c r="MES378" t="str">
        <f>"0419671"</f>
        <v>0419671</v>
      </c>
      <c r="MET378" t="s">
        <v>199</v>
      </c>
      <c r="MEU378" t="s">
        <v>25</v>
      </c>
      <c r="MEV378">
        <v>24</v>
      </c>
      <c r="MEW378">
        <v>0.05</v>
      </c>
      <c r="MEX378">
        <v>1</v>
      </c>
      <c r="MEY378" t="s">
        <v>531</v>
      </c>
      <c r="MEZ378" t="str">
        <f>"628669010033"</f>
        <v>628669010033</v>
      </c>
      <c r="MFA378" t="str">
        <f>"0419671"</f>
        <v>0419671</v>
      </c>
      <c r="MFB378" t="s">
        <v>199</v>
      </c>
      <c r="MFC378" t="s">
        <v>25</v>
      </c>
      <c r="MFD378">
        <v>24</v>
      </c>
      <c r="MFE378">
        <v>0.05</v>
      </c>
      <c r="MFF378">
        <v>1</v>
      </c>
      <c r="MFG378" t="s">
        <v>531</v>
      </c>
      <c r="MFH378" t="str">
        <f>"628669010033"</f>
        <v>628669010033</v>
      </c>
      <c r="MFI378" t="str">
        <f>"0419671"</f>
        <v>0419671</v>
      </c>
      <c r="MFJ378" t="s">
        <v>199</v>
      </c>
      <c r="MFK378" t="s">
        <v>25</v>
      </c>
      <c r="MFL378">
        <v>24</v>
      </c>
      <c r="MFM378">
        <v>0.05</v>
      </c>
      <c r="MFN378">
        <v>1</v>
      </c>
      <c r="MFO378" t="s">
        <v>531</v>
      </c>
      <c r="MFP378" t="str">
        <f>"628669010033"</f>
        <v>628669010033</v>
      </c>
      <c r="MFQ378" t="str">
        <f>"0419671"</f>
        <v>0419671</v>
      </c>
      <c r="MFR378" t="s">
        <v>199</v>
      </c>
      <c r="MFS378" t="s">
        <v>25</v>
      </c>
      <c r="MFT378">
        <v>24</v>
      </c>
      <c r="MFU378">
        <v>0.05</v>
      </c>
      <c r="MFV378">
        <v>1</v>
      </c>
      <c r="MFW378" t="s">
        <v>531</v>
      </c>
      <c r="MFX378" t="str">
        <f>"628669010033"</f>
        <v>628669010033</v>
      </c>
      <c r="MFY378" t="str">
        <f>"0419671"</f>
        <v>0419671</v>
      </c>
      <c r="MFZ378" t="s">
        <v>199</v>
      </c>
      <c r="MGA378" t="s">
        <v>25</v>
      </c>
      <c r="MGB378">
        <v>24</v>
      </c>
      <c r="MGC378">
        <v>0.05</v>
      </c>
      <c r="MGD378">
        <v>1</v>
      </c>
      <c r="MGE378" t="s">
        <v>531</v>
      </c>
      <c r="MGF378" t="str">
        <f>"628669010033"</f>
        <v>628669010033</v>
      </c>
      <c r="MGG378" t="str">
        <f>"0419671"</f>
        <v>0419671</v>
      </c>
      <c r="MGH378" t="s">
        <v>199</v>
      </c>
      <c r="MGI378" t="s">
        <v>25</v>
      </c>
      <c r="MGJ378">
        <v>24</v>
      </c>
      <c r="MGK378">
        <v>0.05</v>
      </c>
      <c r="MGL378">
        <v>1</v>
      </c>
      <c r="MGM378" t="s">
        <v>531</v>
      </c>
      <c r="MGN378" t="str">
        <f>"628669010033"</f>
        <v>628669010033</v>
      </c>
      <c r="MGO378" t="str">
        <f>"0419671"</f>
        <v>0419671</v>
      </c>
      <c r="MGP378" t="s">
        <v>199</v>
      </c>
      <c r="MGQ378" t="s">
        <v>25</v>
      </c>
      <c r="MGR378">
        <v>24</v>
      </c>
      <c r="MGS378">
        <v>0.05</v>
      </c>
      <c r="MGT378">
        <v>1</v>
      </c>
      <c r="MGU378" t="s">
        <v>531</v>
      </c>
      <c r="MGV378" t="str">
        <f>"628669010033"</f>
        <v>628669010033</v>
      </c>
      <c r="MGW378" t="str">
        <f>"0419671"</f>
        <v>0419671</v>
      </c>
      <c r="MGX378" t="s">
        <v>199</v>
      </c>
      <c r="MGY378" t="s">
        <v>25</v>
      </c>
      <c r="MGZ378">
        <v>24</v>
      </c>
      <c r="MHA378">
        <v>0.05</v>
      </c>
      <c r="MHB378">
        <v>1</v>
      </c>
      <c r="MHC378" t="s">
        <v>531</v>
      </c>
      <c r="MHD378" t="str">
        <f>"628669010033"</f>
        <v>628669010033</v>
      </c>
      <c r="MHE378" t="str">
        <f>"0419671"</f>
        <v>0419671</v>
      </c>
      <c r="MHF378" t="s">
        <v>199</v>
      </c>
      <c r="MHG378" t="s">
        <v>25</v>
      </c>
      <c r="MHH378">
        <v>24</v>
      </c>
      <c r="MHI378">
        <v>0.05</v>
      </c>
      <c r="MHJ378">
        <v>1</v>
      </c>
      <c r="MHK378" t="s">
        <v>531</v>
      </c>
      <c r="MHL378" t="str">
        <f>"628669010033"</f>
        <v>628669010033</v>
      </c>
      <c r="MHM378" t="str">
        <f>"0419671"</f>
        <v>0419671</v>
      </c>
      <c r="MHN378" t="s">
        <v>199</v>
      </c>
      <c r="MHO378" t="s">
        <v>25</v>
      </c>
      <c r="MHP378">
        <v>24</v>
      </c>
      <c r="MHQ378">
        <v>0.05</v>
      </c>
      <c r="MHR378">
        <v>1</v>
      </c>
      <c r="MHS378" t="s">
        <v>531</v>
      </c>
      <c r="MHT378" t="str">
        <f>"628669010033"</f>
        <v>628669010033</v>
      </c>
      <c r="MHU378" t="str">
        <f>"0419671"</f>
        <v>0419671</v>
      </c>
      <c r="MHV378" t="s">
        <v>199</v>
      </c>
      <c r="MHW378" t="s">
        <v>25</v>
      </c>
      <c r="MHX378">
        <v>24</v>
      </c>
      <c r="MHY378">
        <v>0.05</v>
      </c>
      <c r="MHZ378">
        <v>1</v>
      </c>
      <c r="MIA378" t="s">
        <v>531</v>
      </c>
      <c r="MIB378" t="str">
        <f>"628669010033"</f>
        <v>628669010033</v>
      </c>
      <c r="MIC378" t="str">
        <f>"0419671"</f>
        <v>0419671</v>
      </c>
      <c r="MID378" t="s">
        <v>199</v>
      </c>
      <c r="MIE378" t="s">
        <v>25</v>
      </c>
      <c r="MIF378">
        <v>24</v>
      </c>
      <c r="MIG378">
        <v>0.05</v>
      </c>
      <c r="MIH378">
        <v>1</v>
      </c>
      <c r="MII378" t="s">
        <v>531</v>
      </c>
      <c r="MIJ378" t="str">
        <f>"628669010033"</f>
        <v>628669010033</v>
      </c>
      <c r="MIK378" t="str">
        <f>"0419671"</f>
        <v>0419671</v>
      </c>
      <c r="MIL378" t="s">
        <v>199</v>
      </c>
      <c r="MIM378" t="s">
        <v>25</v>
      </c>
      <c r="MIN378">
        <v>24</v>
      </c>
      <c r="MIO378">
        <v>0.05</v>
      </c>
      <c r="MIP378">
        <v>1</v>
      </c>
      <c r="MIQ378" t="s">
        <v>531</v>
      </c>
      <c r="MIR378" t="str">
        <f>"628669010033"</f>
        <v>628669010033</v>
      </c>
      <c r="MIS378" t="str">
        <f>"0419671"</f>
        <v>0419671</v>
      </c>
      <c r="MIT378" t="s">
        <v>199</v>
      </c>
      <c r="MIU378" t="s">
        <v>25</v>
      </c>
      <c r="MIV378">
        <v>24</v>
      </c>
      <c r="MIW378">
        <v>0.05</v>
      </c>
      <c r="MIX378">
        <v>1</v>
      </c>
      <c r="MIY378" t="s">
        <v>531</v>
      </c>
      <c r="MIZ378" t="str">
        <f>"628669010033"</f>
        <v>628669010033</v>
      </c>
      <c r="MJA378" t="str">
        <f>"0419671"</f>
        <v>0419671</v>
      </c>
      <c r="MJB378" t="s">
        <v>199</v>
      </c>
      <c r="MJC378" t="s">
        <v>25</v>
      </c>
      <c r="MJD378">
        <v>24</v>
      </c>
      <c r="MJE378">
        <v>0.05</v>
      </c>
      <c r="MJF378">
        <v>1</v>
      </c>
      <c r="MJG378" t="s">
        <v>531</v>
      </c>
      <c r="MJH378" t="str">
        <f>"628669010033"</f>
        <v>628669010033</v>
      </c>
      <c r="MJI378" t="str">
        <f>"0419671"</f>
        <v>0419671</v>
      </c>
      <c r="MJJ378" t="s">
        <v>199</v>
      </c>
      <c r="MJK378" t="s">
        <v>25</v>
      </c>
      <c r="MJL378">
        <v>24</v>
      </c>
      <c r="MJM378">
        <v>0.05</v>
      </c>
      <c r="MJN378">
        <v>1</v>
      </c>
      <c r="MJO378" t="s">
        <v>531</v>
      </c>
      <c r="MJP378" t="str">
        <f>"628669010033"</f>
        <v>628669010033</v>
      </c>
      <c r="MJQ378" t="str">
        <f>"0419671"</f>
        <v>0419671</v>
      </c>
      <c r="MJR378" t="s">
        <v>199</v>
      </c>
      <c r="MJS378" t="s">
        <v>25</v>
      </c>
      <c r="MJT378">
        <v>24</v>
      </c>
      <c r="MJU378">
        <v>0.05</v>
      </c>
      <c r="MJV378">
        <v>1</v>
      </c>
      <c r="MJW378" t="s">
        <v>531</v>
      </c>
      <c r="MJX378" t="str">
        <f>"628669010033"</f>
        <v>628669010033</v>
      </c>
      <c r="MJY378" t="str">
        <f>"0419671"</f>
        <v>0419671</v>
      </c>
      <c r="MJZ378" t="s">
        <v>199</v>
      </c>
      <c r="MKA378" t="s">
        <v>25</v>
      </c>
      <c r="MKB378">
        <v>24</v>
      </c>
      <c r="MKC378">
        <v>0.05</v>
      </c>
      <c r="MKD378">
        <v>1</v>
      </c>
      <c r="MKE378" t="s">
        <v>531</v>
      </c>
      <c r="MKF378" t="str">
        <f>"628669010033"</f>
        <v>628669010033</v>
      </c>
      <c r="MKG378" t="str">
        <f>"0419671"</f>
        <v>0419671</v>
      </c>
      <c r="MKH378" t="s">
        <v>199</v>
      </c>
      <c r="MKI378" t="s">
        <v>25</v>
      </c>
      <c r="MKJ378">
        <v>24</v>
      </c>
      <c r="MKK378">
        <v>0.05</v>
      </c>
      <c r="MKL378">
        <v>1</v>
      </c>
      <c r="MKM378" t="s">
        <v>531</v>
      </c>
      <c r="MKN378" t="str">
        <f>"628669010033"</f>
        <v>628669010033</v>
      </c>
      <c r="MKO378" t="str">
        <f>"0419671"</f>
        <v>0419671</v>
      </c>
      <c r="MKP378" t="s">
        <v>199</v>
      </c>
      <c r="MKQ378" t="s">
        <v>25</v>
      </c>
      <c r="MKR378">
        <v>24</v>
      </c>
      <c r="MKS378">
        <v>0.05</v>
      </c>
      <c r="MKT378">
        <v>1</v>
      </c>
      <c r="MKU378" t="s">
        <v>531</v>
      </c>
      <c r="MKV378" t="str">
        <f>"628669010033"</f>
        <v>628669010033</v>
      </c>
      <c r="MKW378" t="str">
        <f>"0419671"</f>
        <v>0419671</v>
      </c>
      <c r="MKX378" t="s">
        <v>199</v>
      </c>
      <c r="MKY378" t="s">
        <v>25</v>
      </c>
      <c r="MKZ378">
        <v>24</v>
      </c>
      <c r="MLA378">
        <v>0.05</v>
      </c>
      <c r="MLB378">
        <v>1</v>
      </c>
      <c r="MLC378" t="s">
        <v>531</v>
      </c>
      <c r="MLD378" t="str">
        <f>"628669010033"</f>
        <v>628669010033</v>
      </c>
      <c r="MLE378" t="str">
        <f>"0419671"</f>
        <v>0419671</v>
      </c>
      <c r="MLF378" t="s">
        <v>199</v>
      </c>
      <c r="MLG378" t="s">
        <v>25</v>
      </c>
      <c r="MLH378">
        <v>24</v>
      </c>
      <c r="MLI378">
        <v>0.05</v>
      </c>
      <c r="MLJ378">
        <v>1</v>
      </c>
      <c r="MLK378" t="s">
        <v>531</v>
      </c>
      <c r="MLL378" t="str">
        <f>"628669010033"</f>
        <v>628669010033</v>
      </c>
      <c r="MLM378" t="str">
        <f>"0419671"</f>
        <v>0419671</v>
      </c>
      <c r="MLN378" t="s">
        <v>199</v>
      </c>
      <c r="MLO378" t="s">
        <v>25</v>
      </c>
      <c r="MLP378">
        <v>24</v>
      </c>
      <c r="MLQ378">
        <v>0.05</v>
      </c>
      <c r="MLR378">
        <v>1</v>
      </c>
      <c r="MLS378" t="s">
        <v>531</v>
      </c>
      <c r="MLT378" t="str">
        <f>"628669010033"</f>
        <v>628669010033</v>
      </c>
      <c r="MLU378" t="str">
        <f>"0419671"</f>
        <v>0419671</v>
      </c>
      <c r="MLV378" t="s">
        <v>199</v>
      </c>
      <c r="MLW378" t="s">
        <v>25</v>
      </c>
      <c r="MLX378">
        <v>24</v>
      </c>
      <c r="MLY378">
        <v>0.05</v>
      </c>
      <c r="MLZ378">
        <v>1</v>
      </c>
      <c r="MMA378" t="s">
        <v>531</v>
      </c>
      <c r="MMB378" t="str">
        <f>"628669010033"</f>
        <v>628669010033</v>
      </c>
      <c r="MMC378" t="str">
        <f>"0419671"</f>
        <v>0419671</v>
      </c>
      <c r="MMD378" t="s">
        <v>199</v>
      </c>
      <c r="MME378" t="s">
        <v>25</v>
      </c>
      <c r="MMF378">
        <v>24</v>
      </c>
      <c r="MMG378">
        <v>0.05</v>
      </c>
      <c r="MMH378">
        <v>1</v>
      </c>
      <c r="MMI378" t="s">
        <v>531</v>
      </c>
      <c r="MMJ378" t="str">
        <f>"628669010033"</f>
        <v>628669010033</v>
      </c>
      <c r="MMK378" t="str">
        <f>"0419671"</f>
        <v>0419671</v>
      </c>
      <c r="MML378" t="s">
        <v>199</v>
      </c>
      <c r="MMM378" t="s">
        <v>25</v>
      </c>
      <c r="MMN378">
        <v>24</v>
      </c>
      <c r="MMO378">
        <v>0.05</v>
      </c>
      <c r="MMP378">
        <v>1</v>
      </c>
      <c r="MMQ378" t="s">
        <v>531</v>
      </c>
      <c r="MMR378" t="str">
        <f>"628669010033"</f>
        <v>628669010033</v>
      </c>
      <c r="MMS378" t="str">
        <f>"0419671"</f>
        <v>0419671</v>
      </c>
      <c r="MMT378" t="s">
        <v>199</v>
      </c>
      <c r="MMU378" t="s">
        <v>25</v>
      </c>
      <c r="MMV378">
        <v>24</v>
      </c>
      <c r="MMW378">
        <v>0.05</v>
      </c>
      <c r="MMX378">
        <v>1</v>
      </c>
      <c r="MMY378" t="s">
        <v>531</v>
      </c>
      <c r="MMZ378" t="str">
        <f>"628669010033"</f>
        <v>628669010033</v>
      </c>
      <c r="MNA378" t="str">
        <f>"0419671"</f>
        <v>0419671</v>
      </c>
      <c r="MNB378" t="s">
        <v>199</v>
      </c>
      <c r="MNC378" t="s">
        <v>25</v>
      </c>
      <c r="MND378">
        <v>24</v>
      </c>
      <c r="MNE378">
        <v>0.05</v>
      </c>
      <c r="MNF378">
        <v>1</v>
      </c>
      <c r="MNG378" t="s">
        <v>531</v>
      </c>
      <c r="MNH378" t="str">
        <f>"628669010033"</f>
        <v>628669010033</v>
      </c>
      <c r="MNI378" t="str">
        <f>"0419671"</f>
        <v>0419671</v>
      </c>
      <c r="MNJ378" t="s">
        <v>199</v>
      </c>
      <c r="MNK378" t="s">
        <v>25</v>
      </c>
      <c r="MNL378">
        <v>24</v>
      </c>
      <c r="MNM378">
        <v>0.05</v>
      </c>
      <c r="MNN378">
        <v>1</v>
      </c>
      <c r="MNO378" t="s">
        <v>531</v>
      </c>
      <c r="MNP378" t="str">
        <f>"628669010033"</f>
        <v>628669010033</v>
      </c>
      <c r="MNQ378" t="str">
        <f>"0419671"</f>
        <v>0419671</v>
      </c>
      <c r="MNR378" t="s">
        <v>199</v>
      </c>
      <c r="MNS378" t="s">
        <v>25</v>
      </c>
      <c r="MNT378">
        <v>24</v>
      </c>
      <c r="MNU378">
        <v>0.05</v>
      </c>
      <c r="MNV378">
        <v>1</v>
      </c>
      <c r="MNW378" t="s">
        <v>531</v>
      </c>
      <c r="MNX378" t="str">
        <f>"628669010033"</f>
        <v>628669010033</v>
      </c>
      <c r="MNY378" t="str">
        <f>"0419671"</f>
        <v>0419671</v>
      </c>
      <c r="MNZ378" t="s">
        <v>199</v>
      </c>
      <c r="MOA378" t="s">
        <v>25</v>
      </c>
      <c r="MOB378">
        <v>24</v>
      </c>
      <c r="MOC378">
        <v>0.05</v>
      </c>
      <c r="MOD378">
        <v>1</v>
      </c>
      <c r="MOE378" t="s">
        <v>531</v>
      </c>
      <c r="MOF378" t="str">
        <f>"628669010033"</f>
        <v>628669010033</v>
      </c>
      <c r="MOG378" t="str">
        <f>"0419671"</f>
        <v>0419671</v>
      </c>
      <c r="MOH378" t="s">
        <v>199</v>
      </c>
      <c r="MOI378" t="s">
        <v>25</v>
      </c>
      <c r="MOJ378">
        <v>24</v>
      </c>
      <c r="MOK378">
        <v>0.05</v>
      </c>
      <c r="MOL378">
        <v>1</v>
      </c>
      <c r="MOM378" t="s">
        <v>531</v>
      </c>
      <c r="MON378" t="str">
        <f>"628669010033"</f>
        <v>628669010033</v>
      </c>
      <c r="MOO378" t="str">
        <f>"0419671"</f>
        <v>0419671</v>
      </c>
      <c r="MOP378" t="s">
        <v>199</v>
      </c>
      <c r="MOQ378" t="s">
        <v>25</v>
      </c>
      <c r="MOR378">
        <v>24</v>
      </c>
      <c r="MOS378">
        <v>0.05</v>
      </c>
      <c r="MOT378">
        <v>1</v>
      </c>
      <c r="MOU378" t="s">
        <v>531</v>
      </c>
      <c r="MOV378" t="str">
        <f>"628669010033"</f>
        <v>628669010033</v>
      </c>
      <c r="MOW378" t="str">
        <f>"0419671"</f>
        <v>0419671</v>
      </c>
      <c r="MOX378" t="s">
        <v>199</v>
      </c>
      <c r="MOY378" t="s">
        <v>25</v>
      </c>
      <c r="MOZ378">
        <v>24</v>
      </c>
      <c r="MPA378">
        <v>0.05</v>
      </c>
      <c r="MPB378">
        <v>1</v>
      </c>
      <c r="MPC378" t="s">
        <v>531</v>
      </c>
      <c r="MPD378" t="str">
        <f>"628669010033"</f>
        <v>628669010033</v>
      </c>
      <c r="MPE378" t="str">
        <f>"0419671"</f>
        <v>0419671</v>
      </c>
      <c r="MPF378" t="s">
        <v>199</v>
      </c>
      <c r="MPG378" t="s">
        <v>25</v>
      </c>
      <c r="MPH378">
        <v>24</v>
      </c>
      <c r="MPI378">
        <v>0.05</v>
      </c>
      <c r="MPJ378">
        <v>1</v>
      </c>
      <c r="MPK378" t="s">
        <v>531</v>
      </c>
      <c r="MPL378" t="str">
        <f>"628669010033"</f>
        <v>628669010033</v>
      </c>
      <c r="MPM378" t="str">
        <f>"0419671"</f>
        <v>0419671</v>
      </c>
      <c r="MPN378" t="s">
        <v>199</v>
      </c>
      <c r="MPO378" t="s">
        <v>25</v>
      </c>
      <c r="MPP378">
        <v>24</v>
      </c>
      <c r="MPQ378">
        <v>0.05</v>
      </c>
      <c r="MPR378">
        <v>1</v>
      </c>
      <c r="MPS378" t="s">
        <v>531</v>
      </c>
      <c r="MPT378" t="str">
        <f>"628669010033"</f>
        <v>628669010033</v>
      </c>
      <c r="MPU378" t="str">
        <f>"0419671"</f>
        <v>0419671</v>
      </c>
      <c r="MPV378" t="s">
        <v>199</v>
      </c>
      <c r="MPW378" t="s">
        <v>25</v>
      </c>
      <c r="MPX378">
        <v>24</v>
      </c>
      <c r="MPY378">
        <v>0.05</v>
      </c>
      <c r="MPZ378">
        <v>1</v>
      </c>
      <c r="MQA378" t="s">
        <v>531</v>
      </c>
      <c r="MQB378" t="str">
        <f>"628669010033"</f>
        <v>628669010033</v>
      </c>
      <c r="MQC378" t="str">
        <f>"0419671"</f>
        <v>0419671</v>
      </c>
      <c r="MQD378" t="s">
        <v>199</v>
      </c>
      <c r="MQE378" t="s">
        <v>25</v>
      </c>
      <c r="MQF378">
        <v>24</v>
      </c>
      <c r="MQG378">
        <v>0.05</v>
      </c>
      <c r="MQH378">
        <v>1</v>
      </c>
      <c r="MQI378" t="s">
        <v>531</v>
      </c>
      <c r="MQJ378" t="str">
        <f>"628669010033"</f>
        <v>628669010033</v>
      </c>
      <c r="MQK378" t="str">
        <f>"0419671"</f>
        <v>0419671</v>
      </c>
      <c r="MQL378" t="s">
        <v>199</v>
      </c>
      <c r="MQM378" t="s">
        <v>25</v>
      </c>
      <c r="MQN378">
        <v>24</v>
      </c>
      <c r="MQO378">
        <v>0.05</v>
      </c>
      <c r="MQP378">
        <v>1</v>
      </c>
      <c r="MQQ378" t="s">
        <v>531</v>
      </c>
      <c r="MQR378" t="str">
        <f>"628669010033"</f>
        <v>628669010033</v>
      </c>
      <c r="MQS378" t="str">
        <f>"0419671"</f>
        <v>0419671</v>
      </c>
      <c r="MQT378" t="s">
        <v>199</v>
      </c>
      <c r="MQU378" t="s">
        <v>25</v>
      </c>
      <c r="MQV378">
        <v>24</v>
      </c>
      <c r="MQW378">
        <v>0.05</v>
      </c>
      <c r="MQX378">
        <v>1</v>
      </c>
      <c r="MQY378" t="s">
        <v>531</v>
      </c>
      <c r="MQZ378" t="str">
        <f>"628669010033"</f>
        <v>628669010033</v>
      </c>
      <c r="MRA378" t="str">
        <f>"0419671"</f>
        <v>0419671</v>
      </c>
      <c r="MRB378" t="s">
        <v>199</v>
      </c>
      <c r="MRC378" t="s">
        <v>25</v>
      </c>
      <c r="MRD378">
        <v>24</v>
      </c>
      <c r="MRE378">
        <v>0.05</v>
      </c>
      <c r="MRF378">
        <v>1</v>
      </c>
      <c r="MRG378" t="s">
        <v>531</v>
      </c>
      <c r="MRH378" t="str">
        <f>"628669010033"</f>
        <v>628669010033</v>
      </c>
      <c r="MRI378" t="str">
        <f>"0419671"</f>
        <v>0419671</v>
      </c>
      <c r="MRJ378" t="s">
        <v>199</v>
      </c>
      <c r="MRK378" t="s">
        <v>25</v>
      </c>
      <c r="MRL378">
        <v>24</v>
      </c>
      <c r="MRM378">
        <v>0.05</v>
      </c>
      <c r="MRN378">
        <v>1</v>
      </c>
      <c r="MRO378" t="s">
        <v>531</v>
      </c>
      <c r="MRP378" t="str">
        <f>"628669010033"</f>
        <v>628669010033</v>
      </c>
      <c r="MRQ378" t="str">
        <f>"0419671"</f>
        <v>0419671</v>
      </c>
      <c r="MRR378" t="s">
        <v>199</v>
      </c>
      <c r="MRS378" t="s">
        <v>25</v>
      </c>
      <c r="MRT378">
        <v>24</v>
      </c>
      <c r="MRU378">
        <v>0.05</v>
      </c>
      <c r="MRV378">
        <v>1</v>
      </c>
      <c r="MRW378" t="s">
        <v>531</v>
      </c>
      <c r="MRX378" t="str">
        <f>"628669010033"</f>
        <v>628669010033</v>
      </c>
      <c r="MRY378" t="str">
        <f>"0419671"</f>
        <v>0419671</v>
      </c>
      <c r="MRZ378" t="s">
        <v>199</v>
      </c>
      <c r="MSA378" t="s">
        <v>25</v>
      </c>
      <c r="MSB378">
        <v>24</v>
      </c>
      <c r="MSC378">
        <v>0.05</v>
      </c>
      <c r="MSD378">
        <v>1</v>
      </c>
      <c r="MSE378" t="s">
        <v>531</v>
      </c>
      <c r="MSF378" t="str">
        <f>"628669010033"</f>
        <v>628669010033</v>
      </c>
      <c r="MSG378" t="str">
        <f>"0419671"</f>
        <v>0419671</v>
      </c>
      <c r="MSH378" t="s">
        <v>199</v>
      </c>
      <c r="MSI378" t="s">
        <v>25</v>
      </c>
      <c r="MSJ378">
        <v>24</v>
      </c>
      <c r="MSK378">
        <v>0.05</v>
      </c>
      <c r="MSL378">
        <v>1</v>
      </c>
      <c r="MSM378" t="s">
        <v>531</v>
      </c>
      <c r="MSN378" t="str">
        <f>"628669010033"</f>
        <v>628669010033</v>
      </c>
      <c r="MSO378" t="str">
        <f>"0419671"</f>
        <v>0419671</v>
      </c>
      <c r="MSP378" t="s">
        <v>199</v>
      </c>
      <c r="MSQ378" t="s">
        <v>25</v>
      </c>
      <c r="MSR378">
        <v>24</v>
      </c>
      <c r="MSS378">
        <v>0.05</v>
      </c>
      <c r="MST378">
        <v>1</v>
      </c>
      <c r="MSU378" t="s">
        <v>531</v>
      </c>
      <c r="MSV378" t="str">
        <f>"628669010033"</f>
        <v>628669010033</v>
      </c>
      <c r="MSW378" t="str">
        <f>"0419671"</f>
        <v>0419671</v>
      </c>
      <c r="MSX378" t="s">
        <v>199</v>
      </c>
      <c r="MSY378" t="s">
        <v>25</v>
      </c>
      <c r="MSZ378">
        <v>24</v>
      </c>
      <c r="MTA378">
        <v>0.05</v>
      </c>
      <c r="MTB378">
        <v>1</v>
      </c>
      <c r="MTC378" t="s">
        <v>531</v>
      </c>
      <c r="MTD378" t="str">
        <f>"628669010033"</f>
        <v>628669010033</v>
      </c>
      <c r="MTE378" t="str">
        <f>"0419671"</f>
        <v>0419671</v>
      </c>
      <c r="MTF378" t="s">
        <v>199</v>
      </c>
      <c r="MTG378" t="s">
        <v>25</v>
      </c>
      <c r="MTH378">
        <v>24</v>
      </c>
      <c r="MTI378">
        <v>0.05</v>
      </c>
      <c r="MTJ378">
        <v>1</v>
      </c>
      <c r="MTK378" t="s">
        <v>531</v>
      </c>
      <c r="MTL378" t="str">
        <f>"628669010033"</f>
        <v>628669010033</v>
      </c>
      <c r="MTM378" t="str">
        <f>"0419671"</f>
        <v>0419671</v>
      </c>
      <c r="MTN378" t="s">
        <v>199</v>
      </c>
      <c r="MTO378" t="s">
        <v>25</v>
      </c>
      <c r="MTP378">
        <v>24</v>
      </c>
      <c r="MTQ378">
        <v>0.05</v>
      </c>
      <c r="MTR378">
        <v>1</v>
      </c>
      <c r="MTS378" t="s">
        <v>531</v>
      </c>
      <c r="MTT378" t="str">
        <f>"628669010033"</f>
        <v>628669010033</v>
      </c>
      <c r="MTU378" t="str">
        <f>"0419671"</f>
        <v>0419671</v>
      </c>
      <c r="MTV378" t="s">
        <v>199</v>
      </c>
      <c r="MTW378" t="s">
        <v>25</v>
      </c>
      <c r="MTX378">
        <v>24</v>
      </c>
      <c r="MTY378">
        <v>0.05</v>
      </c>
      <c r="MTZ378">
        <v>1</v>
      </c>
      <c r="MUA378" t="s">
        <v>531</v>
      </c>
      <c r="MUB378" t="str">
        <f>"628669010033"</f>
        <v>628669010033</v>
      </c>
      <c r="MUC378" t="str">
        <f>"0419671"</f>
        <v>0419671</v>
      </c>
      <c r="MUD378" t="s">
        <v>199</v>
      </c>
      <c r="MUE378" t="s">
        <v>25</v>
      </c>
      <c r="MUF378">
        <v>24</v>
      </c>
      <c r="MUG378">
        <v>0.05</v>
      </c>
      <c r="MUH378">
        <v>1</v>
      </c>
      <c r="MUI378" t="s">
        <v>531</v>
      </c>
      <c r="MUJ378" t="str">
        <f>"628669010033"</f>
        <v>628669010033</v>
      </c>
      <c r="MUK378" t="str">
        <f>"0419671"</f>
        <v>0419671</v>
      </c>
      <c r="MUL378" t="s">
        <v>199</v>
      </c>
      <c r="MUM378" t="s">
        <v>25</v>
      </c>
      <c r="MUN378">
        <v>24</v>
      </c>
      <c r="MUO378">
        <v>0.05</v>
      </c>
      <c r="MUP378">
        <v>1</v>
      </c>
      <c r="MUQ378" t="s">
        <v>531</v>
      </c>
      <c r="MUR378" t="str">
        <f>"628669010033"</f>
        <v>628669010033</v>
      </c>
      <c r="MUS378" t="str">
        <f>"0419671"</f>
        <v>0419671</v>
      </c>
      <c r="MUT378" t="s">
        <v>199</v>
      </c>
      <c r="MUU378" t="s">
        <v>25</v>
      </c>
      <c r="MUV378">
        <v>24</v>
      </c>
      <c r="MUW378">
        <v>0.05</v>
      </c>
      <c r="MUX378">
        <v>1</v>
      </c>
      <c r="MUY378" t="s">
        <v>531</v>
      </c>
      <c r="MUZ378" t="str">
        <f>"628669010033"</f>
        <v>628669010033</v>
      </c>
      <c r="MVA378" t="str">
        <f>"0419671"</f>
        <v>0419671</v>
      </c>
      <c r="MVB378" t="s">
        <v>199</v>
      </c>
      <c r="MVC378" t="s">
        <v>25</v>
      </c>
      <c r="MVD378">
        <v>24</v>
      </c>
      <c r="MVE378">
        <v>0.05</v>
      </c>
      <c r="MVF378">
        <v>1</v>
      </c>
      <c r="MVG378" t="s">
        <v>531</v>
      </c>
      <c r="MVH378" t="str">
        <f>"628669010033"</f>
        <v>628669010033</v>
      </c>
      <c r="MVI378" t="str">
        <f>"0419671"</f>
        <v>0419671</v>
      </c>
      <c r="MVJ378" t="s">
        <v>199</v>
      </c>
      <c r="MVK378" t="s">
        <v>25</v>
      </c>
      <c r="MVL378">
        <v>24</v>
      </c>
      <c r="MVM378">
        <v>0.05</v>
      </c>
      <c r="MVN378">
        <v>1</v>
      </c>
      <c r="MVO378" t="s">
        <v>531</v>
      </c>
      <c r="MVP378" t="str">
        <f>"628669010033"</f>
        <v>628669010033</v>
      </c>
      <c r="MVQ378" t="str">
        <f>"0419671"</f>
        <v>0419671</v>
      </c>
      <c r="MVR378" t="s">
        <v>199</v>
      </c>
      <c r="MVS378" t="s">
        <v>25</v>
      </c>
      <c r="MVT378">
        <v>24</v>
      </c>
      <c r="MVU378">
        <v>0.05</v>
      </c>
      <c r="MVV378">
        <v>1</v>
      </c>
      <c r="MVW378" t="s">
        <v>531</v>
      </c>
      <c r="MVX378" t="str">
        <f>"628669010033"</f>
        <v>628669010033</v>
      </c>
      <c r="MVY378" t="str">
        <f>"0419671"</f>
        <v>0419671</v>
      </c>
      <c r="MVZ378" t="s">
        <v>199</v>
      </c>
      <c r="MWA378" t="s">
        <v>25</v>
      </c>
      <c r="MWB378">
        <v>24</v>
      </c>
      <c r="MWC378">
        <v>0.05</v>
      </c>
      <c r="MWD378">
        <v>1</v>
      </c>
      <c r="MWE378" t="s">
        <v>531</v>
      </c>
      <c r="MWF378" t="str">
        <f>"628669010033"</f>
        <v>628669010033</v>
      </c>
      <c r="MWG378" t="str">
        <f>"0419671"</f>
        <v>0419671</v>
      </c>
      <c r="MWH378" t="s">
        <v>199</v>
      </c>
      <c r="MWI378" t="s">
        <v>25</v>
      </c>
      <c r="MWJ378">
        <v>24</v>
      </c>
      <c r="MWK378">
        <v>0.05</v>
      </c>
      <c r="MWL378">
        <v>1</v>
      </c>
      <c r="MWM378" t="s">
        <v>531</v>
      </c>
      <c r="MWN378" t="str">
        <f>"628669010033"</f>
        <v>628669010033</v>
      </c>
      <c r="MWO378" t="str">
        <f>"0419671"</f>
        <v>0419671</v>
      </c>
      <c r="MWP378" t="s">
        <v>199</v>
      </c>
      <c r="MWQ378" t="s">
        <v>25</v>
      </c>
      <c r="MWR378">
        <v>24</v>
      </c>
      <c r="MWS378">
        <v>0.05</v>
      </c>
      <c r="MWT378">
        <v>1</v>
      </c>
      <c r="MWU378" t="s">
        <v>531</v>
      </c>
      <c r="MWV378" t="str">
        <f>"628669010033"</f>
        <v>628669010033</v>
      </c>
      <c r="MWW378" t="str">
        <f>"0419671"</f>
        <v>0419671</v>
      </c>
      <c r="MWX378" t="s">
        <v>199</v>
      </c>
      <c r="MWY378" t="s">
        <v>25</v>
      </c>
      <c r="MWZ378">
        <v>24</v>
      </c>
      <c r="MXA378">
        <v>0.05</v>
      </c>
      <c r="MXB378">
        <v>1</v>
      </c>
      <c r="MXC378" t="s">
        <v>531</v>
      </c>
      <c r="MXD378" t="str">
        <f>"628669010033"</f>
        <v>628669010033</v>
      </c>
      <c r="MXE378" t="str">
        <f>"0419671"</f>
        <v>0419671</v>
      </c>
      <c r="MXF378" t="s">
        <v>199</v>
      </c>
      <c r="MXG378" t="s">
        <v>25</v>
      </c>
      <c r="MXH378">
        <v>24</v>
      </c>
      <c r="MXI378">
        <v>0.05</v>
      </c>
      <c r="MXJ378">
        <v>1</v>
      </c>
      <c r="MXK378" t="s">
        <v>531</v>
      </c>
      <c r="MXL378" t="str">
        <f>"628669010033"</f>
        <v>628669010033</v>
      </c>
      <c r="MXM378" t="str">
        <f>"0419671"</f>
        <v>0419671</v>
      </c>
      <c r="MXN378" t="s">
        <v>199</v>
      </c>
      <c r="MXO378" t="s">
        <v>25</v>
      </c>
      <c r="MXP378">
        <v>24</v>
      </c>
      <c r="MXQ378">
        <v>0.05</v>
      </c>
      <c r="MXR378">
        <v>1</v>
      </c>
      <c r="MXS378" t="s">
        <v>531</v>
      </c>
      <c r="MXT378" t="str">
        <f>"628669010033"</f>
        <v>628669010033</v>
      </c>
      <c r="MXU378" t="str">
        <f>"0419671"</f>
        <v>0419671</v>
      </c>
      <c r="MXV378" t="s">
        <v>199</v>
      </c>
      <c r="MXW378" t="s">
        <v>25</v>
      </c>
      <c r="MXX378">
        <v>24</v>
      </c>
      <c r="MXY378">
        <v>0.05</v>
      </c>
      <c r="MXZ378">
        <v>1</v>
      </c>
      <c r="MYA378" t="s">
        <v>531</v>
      </c>
      <c r="MYB378" t="str">
        <f>"628669010033"</f>
        <v>628669010033</v>
      </c>
      <c r="MYC378" t="str">
        <f>"0419671"</f>
        <v>0419671</v>
      </c>
      <c r="MYD378" t="s">
        <v>199</v>
      </c>
      <c r="MYE378" t="s">
        <v>25</v>
      </c>
      <c r="MYF378">
        <v>24</v>
      </c>
      <c r="MYG378">
        <v>0.05</v>
      </c>
      <c r="MYH378">
        <v>1</v>
      </c>
      <c r="MYI378" t="s">
        <v>531</v>
      </c>
      <c r="MYJ378" t="str">
        <f>"628669010033"</f>
        <v>628669010033</v>
      </c>
      <c r="MYK378" t="str">
        <f>"0419671"</f>
        <v>0419671</v>
      </c>
      <c r="MYL378" t="s">
        <v>199</v>
      </c>
      <c r="MYM378" t="s">
        <v>25</v>
      </c>
      <c r="MYN378">
        <v>24</v>
      </c>
      <c r="MYO378">
        <v>0.05</v>
      </c>
      <c r="MYP378">
        <v>1</v>
      </c>
      <c r="MYQ378" t="s">
        <v>531</v>
      </c>
      <c r="MYR378" t="str">
        <f>"628669010033"</f>
        <v>628669010033</v>
      </c>
      <c r="MYS378" t="str">
        <f>"0419671"</f>
        <v>0419671</v>
      </c>
      <c r="MYT378" t="s">
        <v>199</v>
      </c>
      <c r="MYU378" t="s">
        <v>25</v>
      </c>
      <c r="MYV378">
        <v>24</v>
      </c>
      <c r="MYW378">
        <v>0.05</v>
      </c>
      <c r="MYX378">
        <v>1</v>
      </c>
      <c r="MYY378" t="s">
        <v>531</v>
      </c>
      <c r="MYZ378" t="str">
        <f>"628669010033"</f>
        <v>628669010033</v>
      </c>
      <c r="MZA378" t="str">
        <f>"0419671"</f>
        <v>0419671</v>
      </c>
      <c r="MZB378" t="s">
        <v>199</v>
      </c>
      <c r="MZC378" t="s">
        <v>25</v>
      </c>
      <c r="MZD378">
        <v>24</v>
      </c>
      <c r="MZE378">
        <v>0.05</v>
      </c>
      <c r="MZF378">
        <v>1</v>
      </c>
      <c r="MZG378" t="s">
        <v>531</v>
      </c>
      <c r="MZH378" t="str">
        <f>"628669010033"</f>
        <v>628669010033</v>
      </c>
      <c r="MZI378" t="str">
        <f>"0419671"</f>
        <v>0419671</v>
      </c>
      <c r="MZJ378" t="s">
        <v>199</v>
      </c>
      <c r="MZK378" t="s">
        <v>25</v>
      </c>
      <c r="MZL378">
        <v>24</v>
      </c>
      <c r="MZM378">
        <v>0.05</v>
      </c>
      <c r="MZN378">
        <v>1</v>
      </c>
      <c r="MZO378" t="s">
        <v>531</v>
      </c>
      <c r="MZP378" t="str">
        <f>"628669010033"</f>
        <v>628669010033</v>
      </c>
      <c r="MZQ378" t="str">
        <f>"0419671"</f>
        <v>0419671</v>
      </c>
      <c r="MZR378" t="s">
        <v>199</v>
      </c>
      <c r="MZS378" t="s">
        <v>25</v>
      </c>
      <c r="MZT378">
        <v>24</v>
      </c>
      <c r="MZU378">
        <v>0.05</v>
      </c>
      <c r="MZV378">
        <v>1</v>
      </c>
      <c r="MZW378" t="s">
        <v>531</v>
      </c>
      <c r="MZX378" t="str">
        <f>"628669010033"</f>
        <v>628669010033</v>
      </c>
      <c r="MZY378" t="str">
        <f>"0419671"</f>
        <v>0419671</v>
      </c>
      <c r="MZZ378" t="s">
        <v>199</v>
      </c>
      <c r="NAA378" t="s">
        <v>25</v>
      </c>
      <c r="NAB378">
        <v>24</v>
      </c>
      <c r="NAC378">
        <v>0.05</v>
      </c>
      <c r="NAD378">
        <v>1</v>
      </c>
      <c r="NAE378" t="s">
        <v>531</v>
      </c>
      <c r="NAF378" t="str">
        <f>"628669010033"</f>
        <v>628669010033</v>
      </c>
      <c r="NAG378" t="str">
        <f>"0419671"</f>
        <v>0419671</v>
      </c>
      <c r="NAH378" t="s">
        <v>199</v>
      </c>
      <c r="NAI378" t="s">
        <v>25</v>
      </c>
      <c r="NAJ378">
        <v>24</v>
      </c>
      <c r="NAK378">
        <v>0.05</v>
      </c>
      <c r="NAL378">
        <v>1</v>
      </c>
      <c r="NAM378" t="s">
        <v>531</v>
      </c>
      <c r="NAN378" t="str">
        <f>"628669010033"</f>
        <v>628669010033</v>
      </c>
      <c r="NAO378" t="str">
        <f>"0419671"</f>
        <v>0419671</v>
      </c>
      <c r="NAP378" t="s">
        <v>199</v>
      </c>
      <c r="NAQ378" t="s">
        <v>25</v>
      </c>
      <c r="NAR378">
        <v>24</v>
      </c>
      <c r="NAS378">
        <v>0.05</v>
      </c>
      <c r="NAT378">
        <v>1</v>
      </c>
      <c r="NAU378" t="s">
        <v>531</v>
      </c>
      <c r="NAV378" t="str">
        <f>"628669010033"</f>
        <v>628669010033</v>
      </c>
      <c r="NAW378" t="str">
        <f>"0419671"</f>
        <v>0419671</v>
      </c>
      <c r="NAX378" t="s">
        <v>199</v>
      </c>
      <c r="NAY378" t="s">
        <v>25</v>
      </c>
      <c r="NAZ378">
        <v>24</v>
      </c>
      <c r="NBA378">
        <v>0.05</v>
      </c>
      <c r="NBB378">
        <v>1</v>
      </c>
      <c r="NBC378" t="s">
        <v>531</v>
      </c>
      <c r="NBD378" t="str">
        <f>"628669010033"</f>
        <v>628669010033</v>
      </c>
      <c r="NBE378" t="str">
        <f>"0419671"</f>
        <v>0419671</v>
      </c>
      <c r="NBF378" t="s">
        <v>199</v>
      </c>
      <c r="NBG378" t="s">
        <v>25</v>
      </c>
      <c r="NBH378">
        <v>24</v>
      </c>
      <c r="NBI378">
        <v>0.05</v>
      </c>
      <c r="NBJ378">
        <v>1</v>
      </c>
      <c r="NBK378" t="s">
        <v>531</v>
      </c>
      <c r="NBL378" t="str">
        <f>"628669010033"</f>
        <v>628669010033</v>
      </c>
      <c r="NBM378" t="str">
        <f>"0419671"</f>
        <v>0419671</v>
      </c>
      <c r="NBN378" t="s">
        <v>199</v>
      </c>
      <c r="NBO378" t="s">
        <v>25</v>
      </c>
      <c r="NBP378">
        <v>24</v>
      </c>
      <c r="NBQ378">
        <v>0.05</v>
      </c>
      <c r="NBR378">
        <v>1</v>
      </c>
      <c r="NBS378" t="s">
        <v>531</v>
      </c>
      <c r="NBT378" t="str">
        <f>"628669010033"</f>
        <v>628669010033</v>
      </c>
      <c r="NBU378" t="str">
        <f>"0419671"</f>
        <v>0419671</v>
      </c>
      <c r="NBV378" t="s">
        <v>199</v>
      </c>
      <c r="NBW378" t="s">
        <v>25</v>
      </c>
      <c r="NBX378">
        <v>24</v>
      </c>
      <c r="NBY378">
        <v>0.05</v>
      </c>
      <c r="NBZ378">
        <v>1</v>
      </c>
      <c r="NCA378" t="s">
        <v>531</v>
      </c>
      <c r="NCB378" t="str">
        <f>"628669010033"</f>
        <v>628669010033</v>
      </c>
      <c r="NCC378" t="str">
        <f>"0419671"</f>
        <v>0419671</v>
      </c>
      <c r="NCD378" t="s">
        <v>199</v>
      </c>
      <c r="NCE378" t="s">
        <v>25</v>
      </c>
      <c r="NCF378">
        <v>24</v>
      </c>
      <c r="NCG378">
        <v>0.05</v>
      </c>
      <c r="NCH378">
        <v>1</v>
      </c>
      <c r="NCI378" t="s">
        <v>531</v>
      </c>
      <c r="NCJ378" t="str">
        <f>"628669010033"</f>
        <v>628669010033</v>
      </c>
      <c r="NCK378" t="str">
        <f>"0419671"</f>
        <v>0419671</v>
      </c>
      <c r="NCL378" t="s">
        <v>199</v>
      </c>
      <c r="NCM378" t="s">
        <v>25</v>
      </c>
      <c r="NCN378">
        <v>24</v>
      </c>
      <c r="NCO378">
        <v>0.05</v>
      </c>
      <c r="NCP378">
        <v>1</v>
      </c>
      <c r="NCQ378" t="s">
        <v>531</v>
      </c>
      <c r="NCR378" t="str">
        <f>"628669010033"</f>
        <v>628669010033</v>
      </c>
      <c r="NCS378" t="str">
        <f>"0419671"</f>
        <v>0419671</v>
      </c>
      <c r="NCT378" t="s">
        <v>199</v>
      </c>
      <c r="NCU378" t="s">
        <v>25</v>
      </c>
      <c r="NCV378">
        <v>24</v>
      </c>
      <c r="NCW378">
        <v>0.05</v>
      </c>
      <c r="NCX378">
        <v>1</v>
      </c>
      <c r="NCY378" t="s">
        <v>531</v>
      </c>
      <c r="NCZ378" t="str">
        <f>"628669010033"</f>
        <v>628669010033</v>
      </c>
      <c r="NDA378" t="str">
        <f>"0419671"</f>
        <v>0419671</v>
      </c>
      <c r="NDB378" t="s">
        <v>199</v>
      </c>
      <c r="NDC378" t="s">
        <v>25</v>
      </c>
      <c r="NDD378">
        <v>24</v>
      </c>
      <c r="NDE378">
        <v>0.05</v>
      </c>
      <c r="NDF378">
        <v>1</v>
      </c>
      <c r="NDG378" t="s">
        <v>531</v>
      </c>
      <c r="NDH378" t="str">
        <f>"628669010033"</f>
        <v>628669010033</v>
      </c>
      <c r="NDI378" t="str">
        <f>"0419671"</f>
        <v>0419671</v>
      </c>
      <c r="NDJ378" t="s">
        <v>199</v>
      </c>
      <c r="NDK378" t="s">
        <v>25</v>
      </c>
      <c r="NDL378">
        <v>24</v>
      </c>
      <c r="NDM378">
        <v>0.05</v>
      </c>
      <c r="NDN378">
        <v>1</v>
      </c>
      <c r="NDO378" t="s">
        <v>531</v>
      </c>
      <c r="NDP378" t="str">
        <f>"628669010033"</f>
        <v>628669010033</v>
      </c>
      <c r="NDQ378" t="str">
        <f>"0419671"</f>
        <v>0419671</v>
      </c>
      <c r="NDR378" t="s">
        <v>199</v>
      </c>
      <c r="NDS378" t="s">
        <v>25</v>
      </c>
      <c r="NDT378">
        <v>24</v>
      </c>
      <c r="NDU378">
        <v>0.05</v>
      </c>
      <c r="NDV378">
        <v>1</v>
      </c>
      <c r="NDW378" t="s">
        <v>531</v>
      </c>
      <c r="NDX378" t="str">
        <f>"628669010033"</f>
        <v>628669010033</v>
      </c>
      <c r="NDY378" t="str">
        <f>"0419671"</f>
        <v>0419671</v>
      </c>
      <c r="NDZ378" t="s">
        <v>199</v>
      </c>
      <c r="NEA378" t="s">
        <v>25</v>
      </c>
      <c r="NEB378">
        <v>24</v>
      </c>
      <c r="NEC378">
        <v>0.05</v>
      </c>
      <c r="NED378">
        <v>1</v>
      </c>
      <c r="NEE378" t="s">
        <v>531</v>
      </c>
      <c r="NEF378" t="str">
        <f>"628669010033"</f>
        <v>628669010033</v>
      </c>
      <c r="NEG378" t="str">
        <f>"0419671"</f>
        <v>0419671</v>
      </c>
      <c r="NEH378" t="s">
        <v>199</v>
      </c>
      <c r="NEI378" t="s">
        <v>25</v>
      </c>
      <c r="NEJ378">
        <v>24</v>
      </c>
      <c r="NEK378">
        <v>0.05</v>
      </c>
      <c r="NEL378">
        <v>1</v>
      </c>
      <c r="NEM378" t="s">
        <v>531</v>
      </c>
      <c r="NEN378" t="str">
        <f>"628669010033"</f>
        <v>628669010033</v>
      </c>
      <c r="NEO378" t="str">
        <f>"0419671"</f>
        <v>0419671</v>
      </c>
      <c r="NEP378" t="s">
        <v>199</v>
      </c>
      <c r="NEQ378" t="s">
        <v>25</v>
      </c>
      <c r="NER378">
        <v>24</v>
      </c>
      <c r="NES378">
        <v>0.05</v>
      </c>
      <c r="NET378">
        <v>1</v>
      </c>
      <c r="NEU378" t="s">
        <v>531</v>
      </c>
      <c r="NEV378" t="str">
        <f>"628669010033"</f>
        <v>628669010033</v>
      </c>
      <c r="NEW378" t="str">
        <f>"0419671"</f>
        <v>0419671</v>
      </c>
      <c r="NEX378" t="s">
        <v>199</v>
      </c>
      <c r="NEY378" t="s">
        <v>25</v>
      </c>
      <c r="NEZ378">
        <v>24</v>
      </c>
      <c r="NFA378">
        <v>0.05</v>
      </c>
      <c r="NFB378">
        <v>1</v>
      </c>
      <c r="NFC378" t="s">
        <v>531</v>
      </c>
      <c r="NFD378" t="str">
        <f>"628669010033"</f>
        <v>628669010033</v>
      </c>
      <c r="NFE378" t="str">
        <f>"0419671"</f>
        <v>0419671</v>
      </c>
      <c r="NFF378" t="s">
        <v>199</v>
      </c>
      <c r="NFG378" t="s">
        <v>25</v>
      </c>
      <c r="NFH378">
        <v>24</v>
      </c>
      <c r="NFI378">
        <v>0.05</v>
      </c>
      <c r="NFJ378">
        <v>1</v>
      </c>
      <c r="NFK378" t="s">
        <v>531</v>
      </c>
      <c r="NFL378" t="str">
        <f>"628669010033"</f>
        <v>628669010033</v>
      </c>
      <c r="NFM378" t="str">
        <f>"0419671"</f>
        <v>0419671</v>
      </c>
      <c r="NFN378" t="s">
        <v>199</v>
      </c>
      <c r="NFO378" t="s">
        <v>25</v>
      </c>
      <c r="NFP378">
        <v>24</v>
      </c>
      <c r="NFQ378">
        <v>0.05</v>
      </c>
      <c r="NFR378">
        <v>1</v>
      </c>
      <c r="NFS378" t="s">
        <v>531</v>
      </c>
      <c r="NFT378" t="str">
        <f>"628669010033"</f>
        <v>628669010033</v>
      </c>
      <c r="NFU378" t="str">
        <f>"0419671"</f>
        <v>0419671</v>
      </c>
      <c r="NFV378" t="s">
        <v>199</v>
      </c>
      <c r="NFW378" t="s">
        <v>25</v>
      </c>
      <c r="NFX378">
        <v>24</v>
      </c>
      <c r="NFY378">
        <v>0.05</v>
      </c>
      <c r="NFZ378">
        <v>1</v>
      </c>
      <c r="NGA378" t="s">
        <v>531</v>
      </c>
      <c r="NGB378" t="str">
        <f>"628669010033"</f>
        <v>628669010033</v>
      </c>
      <c r="NGC378" t="str">
        <f>"0419671"</f>
        <v>0419671</v>
      </c>
      <c r="NGD378" t="s">
        <v>199</v>
      </c>
      <c r="NGE378" t="s">
        <v>25</v>
      </c>
      <c r="NGF378">
        <v>24</v>
      </c>
      <c r="NGG378">
        <v>0.05</v>
      </c>
      <c r="NGH378">
        <v>1</v>
      </c>
      <c r="NGI378" t="s">
        <v>531</v>
      </c>
      <c r="NGJ378" t="str">
        <f>"628669010033"</f>
        <v>628669010033</v>
      </c>
      <c r="NGK378" t="str">
        <f>"0419671"</f>
        <v>0419671</v>
      </c>
      <c r="NGL378" t="s">
        <v>199</v>
      </c>
      <c r="NGM378" t="s">
        <v>25</v>
      </c>
      <c r="NGN378">
        <v>24</v>
      </c>
      <c r="NGO378">
        <v>0.05</v>
      </c>
      <c r="NGP378">
        <v>1</v>
      </c>
      <c r="NGQ378" t="s">
        <v>531</v>
      </c>
      <c r="NGR378" t="str">
        <f>"628669010033"</f>
        <v>628669010033</v>
      </c>
      <c r="NGS378" t="str">
        <f>"0419671"</f>
        <v>0419671</v>
      </c>
      <c r="NGT378" t="s">
        <v>199</v>
      </c>
      <c r="NGU378" t="s">
        <v>25</v>
      </c>
      <c r="NGV378">
        <v>24</v>
      </c>
      <c r="NGW378">
        <v>0.05</v>
      </c>
      <c r="NGX378">
        <v>1</v>
      </c>
      <c r="NGY378" t="s">
        <v>531</v>
      </c>
      <c r="NGZ378" t="str">
        <f>"628669010033"</f>
        <v>628669010033</v>
      </c>
      <c r="NHA378" t="str">
        <f>"0419671"</f>
        <v>0419671</v>
      </c>
      <c r="NHB378" t="s">
        <v>199</v>
      </c>
      <c r="NHC378" t="s">
        <v>25</v>
      </c>
      <c r="NHD378">
        <v>24</v>
      </c>
      <c r="NHE378">
        <v>0.05</v>
      </c>
      <c r="NHF378">
        <v>1</v>
      </c>
      <c r="NHG378" t="s">
        <v>531</v>
      </c>
      <c r="NHH378" t="str">
        <f>"628669010033"</f>
        <v>628669010033</v>
      </c>
      <c r="NHI378" t="str">
        <f>"0419671"</f>
        <v>0419671</v>
      </c>
      <c r="NHJ378" t="s">
        <v>199</v>
      </c>
      <c r="NHK378" t="s">
        <v>25</v>
      </c>
      <c r="NHL378">
        <v>24</v>
      </c>
      <c r="NHM378">
        <v>0.05</v>
      </c>
      <c r="NHN378">
        <v>1</v>
      </c>
      <c r="NHO378" t="s">
        <v>531</v>
      </c>
      <c r="NHP378" t="str">
        <f>"628669010033"</f>
        <v>628669010033</v>
      </c>
      <c r="NHQ378" t="str">
        <f>"0419671"</f>
        <v>0419671</v>
      </c>
      <c r="NHR378" t="s">
        <v>199</v>
      </c>
      <c r="NHS378" t="s">
        <v>25</v>
      </c>
      <c r="NHT378">
        <v>24</v>
      </c>
      <c r="NHU378">
        <v>0.05</v>
      </c>
      <c r="NHV378">
        <v>1</v>
      </c>
      <c r="NHW378" t="s">
        <v>531</v>
      </c>
      <c r="NHX378" t="str">
        <f>"628669010033"</f>
        <v>628669010033</v>
      </c>
      <c r="NHY378" t="str">
        <f>"0419671"</f>
        <v>0419671</v>
      </c>
      <c r="NHZ378" t="s">
        <v>199</v>
      </c>
      <c r="NIA378" t="s">
        <v>25</v>
      </c>
      <c r="NIB378">
        <v>24</v>
      </c>
      <c r="NIC378">
        <v>0.05</v>
      </c>
      <c r="NID378">
        <v>1</v>
      </c>
      <c r="NIE378" t="s">
        <v>531</v>
      </c>
      <c r="NIF378" t="str">
        <f>"628669010033"</f>
        <v>628669010033</v>
      </c>
      <c r="NIG378" t="str">
        <f>"0419671"</f>
        <v>0419671</v>
      </c>
      <c r="NIH378" t="s">
        <v>199</v>
      </c>
      <c r="NII378" t="s">
        <v>25</v>
      </c>
      <c r="NIJ378">
        <v>24</v>
      </c>
      <c r="NIK378">
        <v>0.05</v>
      </c>
      <c r="NIL378">
        <v>1</v>
      </c>
      <c r="NIM378" t="s">
        <v>531</v>
      </c>
      <c r="NIN378" t="str">
        <f>"628669010033"</f>
        <v>628669010033</v>
      </c>
      <c r="NIO378" t="str">
        <f>"0419671"</f>
        <v>0419671</v>
      </c>
      <c r="NIP378" t="s">
        <v>199</v>
      </c>
      <c r="NIQ378" t="s">
        <v>25</v>
      </c>
      <c r="NIR378">
        <v>24</v>
      </c>
      <c r="NIS378">
        <v>0.05</v>
      </c>
      <c r="NIT378">
        <v>1</v>
      </c>
      <c r="NIU378" t="s">
        <v>531</v>
      </c>
      <c r="NIV378" t="str">
        <f>"628669010033"</f>
        <v>628669010033</v>
      </c>
      <c r="NIW378" t="str">
        <f>"0419671"</f>
        <v>0419671</v>
      </c>
      <c r="NIX378" t="s">
        <v>199</v>
      </c>
      <c r="NIY378" t="s">
        <v>25</v>
      </c>
      <c r="NIZ378">
        <v>24</v>
      </c>
      <c r="NJA378">
        <v>0.05</v>
      </c>
      <c r="NJB378">
        <v>1</v>
      </c>
      <c r="NJC378" t="s">
        <v>531</v>
      </c>
      <c r="NJD378" t="str">
        <f>"628669010033"</f>
        <v>628669010033</v>
      </c>
      <c r="NJE378" t="str">
        <f>"0419671"</f>
        <v>0419671</v>
      </c>
      <c r="NJF378" t="s">
        <v>199</v>
      </c>
      <c r="NJG378" t="s">
        <v>25</v>
      </c>
      <c r="NJH378">
        <v>24</v>
      </c>
      <c r="NJI378">
        <v>0.05</v>
      </c>
      <c r="NJJ378">
        <v>1</v>
      </c>
      <c r="NJK378" t="s">
        <v>531</v>
      </c>
      <c r="NJL378" t="str">
        <f>"628669010033"</f>
        <v>628669010033</v>
      </c>
      <c r="NJM378" t="str">
        <f>"0419671"</f>
        <v>0419671</v>
      </c>
      <c r="NJN378" t="s">
        <v>199</v>
      </c>
      <c r="NJO378" t="s">
        <v>25</v>
      </c>
      <c r="NJP378">
        <v>24</v>
      </c>
      <c r="NJQ378">
        <v>0.05</v>
      </c>
      <c r="NJR378">
        <v>1</v>
      </c>
      <c r="NJS378" t="s">
        <v>531</v>
      </c>
      <c r="NJT378" t="str">
        <f>"628669010033"</f>
        <v>628669010033</v>
      </c>
      <c r="NJU378" t="str">
        <f>"0419671"</f>
        <v>0419671</v>
      </c>
      <c r="NJV378" t="s">
        <v>199</v>
      </c>
      <c r="NJW378" t="s">
        <v>25</v>
      </c>
      <c r="NJX378">
        <v>24</v>
      </c>
      <c r="NJY378">
        <v>0.05</v>
      </c>
      <c r="NJZ378">
        <v>1</v>
      </c>
      <c r="NKA378" t="s">
        <v>531</v>
      </c>
      <c r="NKB378" t="str">
        <f>"628669010033"</f>
        <v>628669010033</v>
      </c>
      <c r="NKC378" t="str">
        <f>"0419671"</f>
        <v>0419671</v>
      </c>
      <c r="NKD378" t="s">
        <v>199</v>
      </c>
      <c r="NKE378" t="s">
        <v>25</v>
      </c>
      <c r="NKF378">
        <v>24</v>
      </c>
      <c r="NKG378">
        <v>0.05</v>
      </c>
      <c r="NKH378">
        <v>1</v>
      </c>
      <c r="NKI378" t="s">
        <v>531</v>
      </c>
      <c r="NKJ378" t="str">
        <f>"628669010033"</f>
        <v>628669010033</v>
      </c>
      <c r="NKK378" t="str">
        <f>"0419671"</f>
        <v>0419671</v>
      </c>
      <c r="NKL378" t="s">
        <v>199</v>
      </c>
      <c r="NKM378" t="s">
        <v>25</v>
      </c>
      <c r="NKN378">
        <v>24</v>
      </c>
      <c r="NKO378">
        <v>0.05</v>
      </c>
      <c r="NKP378">
        <v>1</v>
      </c>
      <c r="NKQ378" t="s">
        <v>531</v>
      </c>
      <c r="NKR378" t="str">
        <f>"628669010033"</f>
        <v>628669010033</v>
      </c>
      <c r="NKS378" t="str">
        <f>"0419671"</f>
        <v>0419671</v>
      </c>
      <c r="NKT378" t="s">
        <v>199</v>
      </c>
      <c r="NKU378" t="s">
        <v>25</v>
      </c>
      <c r="NKV378">
        <v>24</v>
      </c>
      <c r="NKW378">
        <v>0.05</v>
      </c>
      <c r="NKX378">
        <v>1</v>
      </c>
      <c r="NKY378" t="s">
        <v>531</v>
      </c>
      <c r="NKZ378" t="str">
        <f>"628669010033"</f>
        <v>628669010033</v>
      </c>
      <c r="NLA378" t="str">
        <f>"0419671"</f>
        <v>0419671</v>
      </c>
      <c r="NLB378" t="s">
        <v>199</v>
      </c>
      <c r="NLC378" t="s">
        <v>25</v>
      </c>
      <c r="NLD378">
        <v>24</v>
      </c>
      <c r="NLE378">
        <v>0.05</v>
      </c>
      <c r="NLF378">
        <v>1</v>
      </c>
      <c r="NLG378" t="s">
        <v>531</v>
      </c>
      <c r="NLH378" t="str">
        <f>"628669010033"</f>
        <v>628669010033</v>
      </c>
      <c r="NLI378" t="str">
        <f>"0419671"</f>
        <v>0419671</v>
      </c>
      <c r="NLJ378" t="s">
        <v>199</v>
      </c>
      <c r="NLK378" t="s">
        <v>25</v>
      </c>
      <c r="NLL378">
        <v>24</v>
      </c>
      <c r="NLM378">
        <v>0.05</v>
      </c>
      <c r="NLN378">
        <v>1</v>
      </c>
      <c r="NLO378" t="s">
        <v>531</v>
      </c>
      <c r="NLP378" t="str">
        <f>"628669010033"</f>
        <v>628669010033</v>
      </c>
      <c r="NLQ378" t="str">
        <f>"0419671"</f>
        <v>0419671</v>
      </c>
      <c r="NLR378" t="s">
        <v>199</v>
      </c>
      <c r="NLS378" t="s">
        <v>25</v>
      </c>
      <c r="NLT378">
        <v>24</v>
      </c>
      <c r="NLU378">
        <v>0.05</v>
      </c>
      <c r="NLV378">
        <v>1</v>
      </c>
      <c r="NLW378" t="s">
        <v>531</v>
      </c>
      <c r="NLX378" t="str">
        <f>"628669010033"</f>
        <v>628669010033</v>
      </c>
      <c r="NLY378" t="str">
        <f>"0419671"</f>
        <v>0419671</v>
      </c>
      <c r="NLZ378" t="s">
        <v>199</v>
      </c>
      <c r="NMA378" t="s">
        <v>25</v>
      </c>
      <c r="NMB378">
        <v>24</v>
      </c>
      <c r="NMC378">
        <v>0.05</v>
      </c>
      <c r="NMD378">
        <v>1</v>
      </c>
      <c r="NME378" t="s">
        <v>531</v>
      </c>
      <c r="NMF378" t="str">
        <f>"628669010033"</f>
        <v>628669010033</v>
      </c>
      <c r="NMG378" t="str">
        <f>"0419671"</f>
        <v>0419671</v>
      </c>
      <c r="NMH378" t="s">
        <v>199</v>
      </c>
      <c r="NMI378" t="s">
        <v>25</v>
      </c>
      <c r="NMJ378">
        <v>24</v>
      </c>
      <c r="NMK378">
        <v>0.05</v>
      </c>
      <c r="NML378">
        <v>1</v>
      </c>
      <c r="NMM378" t="s">
        <v>531</v>
      </c>
      <c r="NMN378" t="str">
        <f>"628669010033"</f>
        <v>628669010033</v>
      </c>
      <c r="NMO378" t="str">
        <f>"0419671"</f>
        <v>0419671</v>
      </c>
      <c r="NMP378" t="s">
        <v>199</v>
      </c>
      <c r="NMQ378" t="s">
        <v>25</v>
      </c>
      <c r="NMR378">
        <v>24</v>
      </c>
      <c r="NMS378">
        <v>0.05</v>
      </c>
      <c r="NMT378">
        <v>1</v>
      </c>
      <c r="NMU378" t="s">
        <v>531</v>
      </c>
      <c r="NMV378" t="str">
        <f>"628669010033"</f>
        <v>628669010033</v>
      </c>
      <c r="NMW378" t="str">
        <f>"0419671"</f>
        <v>0419671</v>
      </c>
      <c r="NMX378" t="s">
        <v>199</v>
      </c>
      <c r="NMY378" t="s">
        <v>25</v>
      </c>
      <c r="NMZ378">
        <v>24</v>
      </c>
      <c r="NNA378">
        <v>0.05</v>
      </c>
      <c r="NNB378">
        <v>1</v>
      </c>
      <c r="NNC378" t="s">
        <v>531</v>
      </c>
      <c r="NND378" t="str">
        <f>"628669010033"</f>
        <v>628669010033</v>
      </c>
      <c r="NNE378" t="str">
        <f>"0419671"</f>
        <v>0419671</v>
      </c>
      <c r="NNF378" t="s">
        <v>199</v>
      </c>
      <c r="NNG378" t="s">
        <v>25</v>
      </c>
      <c r="NNH378">
        <v>24</v>
      </c>
      <c r="NNI378">
        <v>0.05</v>
      </c>
      <c r="NNJ378">
        <v>1</v>
      </c>
      <c r="NNK378" t="s">
        <v>531</v>
      </c>
      <c r="NNL378" t="str">
        <f>"628669010033"</f>
        <v>628669010033</v>
      </c>
      <c r="NNM378" t="str">
        <f>"0419671"</f>
        <v>0419671</v>
      </c>
      <c r="NNN378" t="s">
        <v>199</v>
      </c>
      <c r="NNO378" t="s">
        <v>25</v>
      </c>
      <c r="NNP378">
        <v>24</v>
      </c>
      <c r="NNQ378">
        <v>0.05</v>
      </c>
      <c r="NNR378">
        <v>1</v>
      </c>
      <c r="NNS378" t="s">
        <v>531</v>
      </c>
      <c r="NNT378" t="str">
        <f>"628669010033"</f>
        <v>628669010033</v>
      </c>
      <c r="NNU378" t="str">
        <f>"0419671"</f>
        <v>0419671</v>
      </c>
      <c r="NNV378" t="s">
        <v>199</v>
      </c>
      <c r="NNW378" t="s">
        <v>25</v>
      </c>
      <c r="NNX378">
        <v>24</v>
      </c>
      <c r="NNY378">
        <v>0.05</v>
      </c>
      <c r="NNZ378">
        <v>1</v>
      </c>
      <c r="NOA378" t="s">
        <v>531</v>
      </c>
      <c r="NOB378" t="str">
        <f>"628669010033"</f>
        <v>628669010033</v>
      </c>
      <c r="NOC378" t="str">
        <f>"0419671"</f>
        <v>0419671</v>
      </c>
      <c r="NOD378" t="s">
        <v>199</v>
      </c>
      <c r="NOE378" t="s">
        <v>25</v>
      </c>
      <c r="NOF378">
        <v>24</v>
      </c>
      <c r="NOG378">
        <v>0.05</v>
      </c>
      <c r="NOH378">
        <v>1</v>
      </c>
      <c r="NOI378" t="s">
        <v>531</v>
      </c>
      <c r="NOJ378" t="str">
        <f>"628669010033"</f>
        <v>628669010033</v>
      </c>
      <c r="NOK378" t="str">
        <f>"0419671"</f>
        <v>0419671</v>
      </c>
      <c r="NOL378" t="s">
        <v>199</v>
      </c>
      <c r="NOM378" t="s">
        <v>25</v>
      </c>
      <c r="NON378">
        <v>24</v>
      </c>
      <c r="NOO378">
        <v>0.05</v>
      </c>
      <c r="NOP378">
        <v>1</v>
      </c>
      <c r="NOQ378" t="s">
        <v>531</v>
      </c>
      <c r="NOR378" t="str">
        <f>"628669010033"</f>
        <v>628669010033</v>
      </c>
      <c r="NOS378" t="str">
        <f>"0419671"</f>
        <v>0419671</v>
      </c>
      <c r="NOT378" t="s">
        <v>199</v>
      </c>
      <c r="NOU378" t="s">
        <v>25</v>
      </c>
      <c r="NOV378">
        <v>24</v>
      </c>
      <c r="NOW378">
        <v>0.05</v>
      </c>
      <c r="NOX378">
        <v>1</v>
      </c>
      <c r="NOY378" t="s">
        <v>531</v>
      </c>
      <c r="NOZ378" t="str">
        <f>"628669010033"</f>
        <v>628669010033</v>
      </c>
      <c r="NPA378" t="str">
        <f>"0419671"</f>
        <v>0419671</v>
      </c>
      <c r="NPB378" t="s">
        <v>199</v>
      </c>
      <c r="NPC378" t="s">
        <v>25</v>
      </c>
      <c r="NPD378">
        <v>24</v>
      </c>
      <c r="NPE378">
        <v>0.05</v>
      </c>
      <c r="NPF378">
        <v>1</v>
      </c>
      <c r="NPG378" t="s">
        <v>531</v>
      </c>
      <c r="NPH378" t="str">
        <f>"628669010033"</f>
        <v>628669010033</v>
      </c>
      <c r="NPI378" t="str">
        <f>"0419671"</f>
        <v>0419671</v>
      </c>
      <c r="NPJ378" t="s">
        <v>199</v>
      </c>
      <c r="NPK378" t="s">
        <v>25</v>
      </c>
      <c r="NPL378">
        <v>24</v>
      </c>
      <c r="NPM378">
        <v>0.05</v>
      </c>
      <c r="NPN378">
        <v>1</v>
      </c>
      <c r="NPO378" t="s">
        <v>531</v>
      </c>
      <c r="NPP378" t="str">
        <f>"628669010033"</f>
        <v>628669010033</v>
      </c>
      <c r="NPQ378" t="str">
        <f>"0419671"</f>
        <v>0419671</v>
      </c>
      <c r="NPR378" t="s">
        <v>199</v>
      </c>
      <c r="NPS378" t="s">
        <v>25</v>
      </c>
      <c r="NPT378">
        <v>24</v>
      </c>
      <c r="NPU378">
        <v>0.05</v>
      </c>
      <c r="NPV378">
        <v>1</v>
      </c>
      <c r="NPW378" t="s">
        <v>531</v>
      </c>
      <c r="NPX378" t="str">
        <f>"628669010033"</f>
        <v>628669010033</v>
      </c>
      <c r="NPY378" t="str">
        <f>"0419671"</f>
        <v>0419671</v>
      </c>
      <c r="NPZ378" t="s">
        <v>199</v>
      </c>
      <c r="NQA378" t="s">
        <v>25</v>
      </c>
      <c r="NQB378">
        <v>24</v>
      </c>
      <c r="NQC378">
        <v>0.05</v>
      </c>
      <c r="NQD378">
        <v>1</v>
      </c>
      <c r="NQE378" t="s">
        <v>531</v>
      </c>
      <c r="NQF378" t="str">
        <f>"628669010033"</f>
        <v>628669010033</v>
      </c>
      <c r="NQG378" t="str">
        <f>"0419671"</f>
        <v>0419671</v>
      </c>
      <c r="NQH378" t="s">
        <v>199</v>
      </c>
      <c r="NQI378" t="s">
        <v>25</v>
      </c>
      <c r="NQJ378">
        <v>24</v>
      </c>
      <c r="NQK378">
        <v>0.05</v>
      </c>
      <c r="NQL378">
        <v>1</v>
      </c>
      <c r="NQM378" t="s">
        <v>531</v>
      </c>
      <c r="NQN378" t="str">
        <f>"628669010033"</f>
        <v>628669010033</v>
      </c>
      <c r="NQO378" t="str">
        <f>"0419671"</f>
        <v>0419671</v>
      </c>
      <c r="NQP378" t="s">
        <v>199</v>
      </c>
      <c r="NQQ378" t="s">
        <v>25</v>
      </c>
      <c r="NQR378">
        <v>24</v>
      </c>
      <c r="NQS378">
        <v>0.05</v>
      </c>
      <c r="NQT378">
        <v>1</v>
      </c>
      <c r="NQU378" t="s">
        <v>531</v>
      </c>
      <c r="NQV378" t="str">
        <f>"628669010033"</f>
        <v>628669010033</v>
      </c>
      <c r="NQW378" t="str">
        <f>"0419671"</f>
        <v>0419671</v>
      </c>
      <c r="NQX378" t="s">
        <v>199</v>
      </c>
      <c r="NQY378" t="s">
        <v>25</v>
      </c>
      <c r="NQZ378">
        <v>24</v>
      </c>
      <c r="NRA378">
        <v>0.05</v>
      </c>
      <c r="NRB378">
        <v>1</v>
      </c>
      <c r="NRC378" t="s">
        <v>531</v>
      </c>
      <c r="NRD378" t="str">
        <f>"628669010033"</f>
        <v>628669010033</v>
      </c>
      <c r="NRE378" t="str">
        <f>"0419671"</f>
        <v>0419671</v>
      </c>
      <c r="NRF378" t="s">
        <v>199</v>
      </c>
      <c r="NRG378" t="s">
        <v>25</v>
      </c>
      <c r="NRH378">
        <v>24</v>
      </c>
      <c r="NRI378">
        <v>0.05</v>
      </c>
      <c r="NRJ378">
        <v>1</v>
      </c>
      <c r="NRK378" t="s">
        <v>531</v>
      </c>
      <c r="NRL378" t="str">
        <f>"628669010033"</f>
        <v>628669010033</v>
      </c>
      <c r="NRM378" t="str">
        <f>"0419671"</f>
        <v>0419671</v>
      </c>
      <c r="NRN378" t="s">
        <v>199</v>
      </c>
      <c r="NRO378" t="s">
        <v>25</v>
      </c>
      <c r="NRP378">
        <v>24</v>
      </c>
      <c r="NRQ378">
        <v>0.05</v>
      </c>
      <c r="NRR378">
        <v>1</v>
      </c>
      <c r="NRS378" t="s">
        <v>531</v>
      </c>
      <c r="NRT378" t="str">
        <f>"628669010033"</f>
        <v>628669010033</v>
      </c>
      <c r="NRU378" t="str">
        <f>"0419671"</f>
        <v>0419671</v>
      </c>
      <c r="NRV378" t="s">
        <v>199</v>
      </c>
      <c r="NRW378" t="s">
        <v>25</v>
      </c>
      <c r="NRX378">
        <v>24</v>
      </c>
      <c r="NRY378">
        <v>0.05</v>
      </c>
      <c r="NRZ378">
        <v>1</v>
      </c>
      <c r="NSA378" t="s">
        <v>531</v>
      </c>
      <c r="NSB378" t="str">
        <f>"628669010033"</f>
        <v>628669010033</v>
      </c>
      <c r="NSC378" t="str">
        <f>"0419671"</f>
        <v>0419671</v>
      </c>
      <c r="NSD378" t="s">
        <v>199</v>
      </c>
      <c r="NSE378" t="s">
        <v>25</v>
      </c>
      <c r="NSF378">
        <v>24</v>
      </c>
      <c r="NSG378">
        <v>0.05</v>
      </c>
      <c r="NSH378">
        <v>1</v>
      </c>
      <c r="NSI378" t="s">
        <v>531</v>
      </c>
      <c r="NSJ378" t="str">
        <f>"628669010033"</f>
        <v>628669010033</v>
      </c>
      <c r="NSK378" t="str">
        <f>"0419671"</f>
        <v>0419671</v>
      </c>
      <c r="NSL378" t="s">
        <v>199</v>
      </c>
      <c r="NSM378" t="s">
        <v>25</v>
      </c>
      <c r="NSN378">
        <v>24</v>
      </c>
      <c r="NSO378">
        <v>0.05</v>
      </c>
      <c r="NSP378">
        <v>1</v>
      </c>
      <c r="NSQ378" t="s">
        <v>531</v>
      </c>
      <c r="NSR378" t="str">
        <f>"628669010033"</f>
        <v>628669010033</v>
      </c>
      <c r="NSS378" t="str">
        <f>"0419671"</f>
        <v>0419671</v>
      </c>
      <c r="NST378" t="s">
        <v>199</v>
      </c>
      <c r="NSU378" t="s">
        <v>25</v>
      </c>
      <c r="NSV378">
        <v>24</v>
      </c>
      <c r="NSW378">
        <v>0.05</v>
      </c>
      <c r="NSX378">
        <v>1</v>
      </c>
      <c r="NSY378" t="s">
        <v>531</v>
      </c>
      <c r="NSZ378" t="str">
        <f>"628669010033"</f>
        <v>628669010033</v>
      </c>
      <c r="NTA378" t="str">
        <f>"0419671"</f>
        <v>0419671</v>
      </c>
      <c r="NTB378" t="s">
        <v>199</v>
      </c>
      <c r="NTC378" t="s">
        <v>25</v>
      </c>
      <c r="NTD378">
        <v>24</v>
      </c>
      <c r="NTE378">
        <v>0.05</v>
      </c>
      <c r="NTF378">
        <v>1</v>
      </c>
      <c r="NTG378" t="s">
        <v>531</v>
      </c>
      <c r="NTH378" t="str">
        <f>"628669010033"</f>
        <v>628669010033</v>
      </c>
      <c r="NTI378" t="str">
        <f>"0419671"</f>
        <v>0419671</v>
      </c>
      <c r="NTJ378" t="s">
        <v>199</v>
      </c>
      <c r="NTK378" t="s">
        <v>25</v>
      </c>
      <c r="NTL378">
        <v>24</v>
      </c>
      <c r="NTM378">
        <v>0.05</v>
      </c>
      <c r="NTN378">
        <v>1</v>
      </c>
      <c r="NTO378" t="s">
        <v>531</v>
      </c>
      <c r="NTP378" t="str">
        <f>"628669010033"</f>
        <v>628669010033</v>
      </c>
      <c r="NTQ378" t="str">
        <f>"0419671"</f>
        <v>0419671</v>
      </c>
      <c r="NTR378" t="s">
        <v>199</v>
      </c>
      <c r="NTS378" t="s">
        <v>25</v>
      </c>
      <c r="NTT378">
        <v>24</v>
      </c>
      <c r="NTU378">
        <v>0.05</v>
      </c>
      <c r="NTV378">
        <v>1</v>
      </c>
      <c r="NTW378" t="s">
        <v>531</v>
      </c>
      <c r="NTX378" t="str">
        <f>"628669010033"</f>
        <v>628669010033</v>
      </c>
      <c r="NTY378" t="str">
        <f>"0419671"</f>
        <v>0419671</v>
      </c>
      <c r="NTZ378" t="s">
        <v>199</v>
      </c>
      <c r="NUA378" t="s">
        <v>25</v>
      </c>
      <c r="NUB378">
        <v>24</v>
      </c>
      <c r="NUC378">
        <v>0.05</v>
      </c>
      <c r="NUD378">
        <v>1</v>
      </c>
      <c r="NUE378" t="s">
        <v>531</v>
      </c>
      <c r="NUF378" t="str">
        <f>"628669010033"</f>
        <v>628669010033</v>
      </c>
      <c r="NUG378" t="str">
        <f>"0419671"</f>
        <v>0419671</v>
      </c>
      <c r="NUH378" t="s">
        <v>199</v>
      </c>
      <c r="NUI378" t="s">
        <v>25</v>
      </c>
      <c r="NUJ378">
        <v>24</v>
      </c>
      <c r="NUK378">
        <v>0.05</v>
      </c>
      <c r="NUL378">
        <v>1</v>
      </c>
      <c r="NUM378" t="s">
        <v>531</v>
      </c>
      <c r="NUN378" t="str">
        <f>"628669010033"</f>
        <v>628669010033</v>
      </c>
      <c r="NUO378" t="str">
        <f>"0419671"</f>
        <v>0419671</v>
      </c>
      <c r="NUP378" t="s">
        <v>199</v>
      </c>
      <c r="NUQ378" t="s">
        <v>25</v>
      </c>
      <c r="NUR378">
        <v>24</v>
      </c>
      <c r="NUS378">
        <v>0.05</v>
      </c>
      <c r="NUT378">
        <v>1</v>
      </c>
      <c r="NUU378" t="s">
        <v>531</v>
      </c>
      <c r="NUV378" t="str">
        <f>"628669010033"</f>
        <v>628669010033</v>
      </c>
      <c r="NUW378" t="str">
        <f>"0419671"</f>
        <v>0419671</v>
      </c>
      <c r="NUX378" t="s">
        <v>199</v>
      </c>
      <c r="NUY378" t="s">
        <v>25</v>
      </c>
      <c r="NUZ378">
        <v>24</v>
      </c>
      <c r="NVA378">
        <v>0.05</v>
      </c>
      <c r="NVB378">
        <v>1</v>
      </c>
      <c r="NVC378" t="s">
        <v>531</v>
      </c>
      <c r="NVD378" t="str">
        <f>"628669010033"</f>
        <v>628669010033</v>
      </c>
      <c r="NVE378" t="str">
        <f>"0419671"</f>
        <v>0419671</v>
      </c>
      <c r="NVF378" t="s">
        <v>199</v>
      </c>
      <c r="NVG378" t="s">
        <v>25</v>
      </c>
      <c r="NVH378">
        <v>24</v>
      </c>
      <c r="NVI378">
        <v>0.05</v>
      </c>
      <c r="NVJ378">
        <v>1</v>
      </c>
      <c r="NVK378" t="s">
        <v>531</v>
      </c>
      <c r="NVL378" t="str">
        <f>"628669010033"</f>
        <v>628669010033</v>
      </c>
      <c r="NVM378" t="str">
        <f>"0419671"</f>
        <v>0419671</v>
      </c>
      <c r="NVN378" t="s">
        <v>199</v>
      </c>
      <c r="NVO378" t="s">
        <v>25</v>
      </c>
      <c r="NVP378">
        <v>24</v>
      </c>
      <c r="NVQ378">
        <v>0.05</v>
      </c>
      <c r="NVR378">
        <v>1</v>
      </c>
      <c r="NVS378" t="s">
        <v>531</v>
      </c>
      <c r="NVT378" t="str">
        <f>"628669010033"</f>
        <v>628669010033</v>
      </c>
      <c r="NVU378" t="str">
        <f>"0419671"</f>
        <v>0419671</v>
      </c>
      <c r="NVV378" t="s">
        <v>199</v>
      </c>
      <c r="NVW378" t="s">
        <v>25</v>
      </c>
      <c r="NVX378">
        <v>24</v>
      </c>
      <c r="NVY378">
        <v>0.05</v>
      </c>
      <c r="NVZ378">
        <v>1</v>
      </c>
      <c r="NWA378" t="s">
        <v>531</v>
      </c>
      <c r="NWB378" t="str">
        <f>"628669010033"</f>
        <v>628669010033</v>
      </c>
      <c r="NWC378" t="str">
        <f>"0419671"</f>
        <v>0419671</v>
      </c>
      <c r="NWD378" t="s">
        <v>199</v>
      </c>
      <c r="NWE378" t="s">
        <v>25</v>
      </c>
      <c r="NWF378">
        <v>24</v>
      </c>
      <c r="NWG378">
        <v>0.05</v>
      </c>
      <c r="NWH378">
        <v>1</v>
      </c>
      <c r="NWI378" t="s">
        <v>531</v>
      </c>
      <c r="NWJ378" t="str">
        <f>"628669010033"</f>
        <v>628669010033</v>
      </c>
      <c r="NWK378" t="str">
        <f>"0419671"</f>
        <v>0419671</v>
      </c>
      <c r="NWL378" t="s">
        <v>199</v>
      </c>
      <c r="NWM378" t="s">
        <v>25</v>
      </c>
      <c r="NWN378">
        <v>24</v>
      </c>
      <c r="NWO378">
        <v>0.05</v>
      </c>
      <c r="NWP378">
        <v>1</v>
      </c>
      <c r="NWQ378" t="s">
        <v>531</v>
      </c>
      <c r="NWR378" t="str">
        <f>"628669010033"</f>
        <v>628669010033</v>
      </c>
      <c r="NWS378" t="str">
        <f>"0419671"</f>
        <v>0419671</v>
      </c>
      <c r="NWT378" t="s">
        <v>199</v>
      </c>
      <c r="NWU378" t="s">
        <v>25</v>
      </c>
      <c r="NWV378">
        <v>24</v>
      </c>
      <c r="NWW378">
        <v>0.05</v>
      </c>
      <c r="NWX378">
        <v>1</v>
      </c>
      <c r="NWY378" t="s">
        <v>531</v>
      </c>
      <c r="NWZ378" t="str">
        <f>"628669010033"</f>
        <v>628669010033</v>
      </c>
      <c r="NXA378" t="str">
        <f>"0419671"</f>
        <v>0419671</v>
      </c>
      <c r="NXB378" t="s">
        <v>199</v>
      </c>
      <c r="NXC378" t="s">
        <v>25</v>
      </c>
      <c r="NXD378">
        <v>24</v>
      </c>
      <c r="NXE378">
        <v>0.05</v>
      </c>
      <c r="NXF378">
        <v>1</v>
      </c>
      <c r="NXG378" t="s">
        <v>531</v>
      </c>
      <c r="NXH378" t="str">
        <f>"628669010033"</f>
        <v>628669010033</v>
      </c>
      <c r="NXI378" t="str">
        <f>"0419671"</f>
        <v>0419671</v>
      </c>
      <c r="NXJ378" t="s">
        <v>199</v>
      </c>
      <c r="NXK378" t="s">
        <v>25</v>
      </c>
      <c r="NXL378">
        <v>24</v>
      </c>
      <c r="NXM378">
        <v>0.05</v>
      </c>
      <c r="NXN378">
        <v>1</v>
      </c>
      <c r="NXO378" t="s">
        <v>531</v>
      </c>
      <c r="NXP378" t="str">
        <f>"628669010033"</f>
        <v>628669010033</v>
      </c>
      <c r="NXQ378" t="str">
        <f>"0419671"</f>
        <v>0419671</v>
      </c>
      <c r="NXR378" t="s">
        <v>199</v>
      </c>
      <c r="NXS378" t="s">
        <v>25</v>
      </c>
      <c r="NXT378">
        <v>24</v>
      </c>
      <c r="NXU378">
        <v>0.05</v>
      </c>
      <c r="NXV378">
        <v>1</v>
      </c>
      <c r="NXW378" t="s">
        <v>531</v>
      </c>
      <c r="NXX378" t="str">
        <f>"628669010033"</f>
        <v>628669010033</v>
      </c>
      <c r="NXY378" t="str">
        <f>"0419671"</f>
        <v>0419671</v>
      </c>
      <c r="NXZ378" t="s">
        <v>199</v>
      </c>
      <c r="NYA378" t="s">
        <v>25</v>
      </c>
      <c r="NYB378">
        <v>24</v>
      </c>
      <c r="NYC378">
        <v>0.05</v>
      </c>
      <c r="NYD378">
        <v>1</v>
      </c>
      <c r="NYE378" t="s">
        <v>531</v>
      </c>
      <c r="NYF378" t="str">
        <f>"628669010033"</f>
        <v>628669010033</v>
      </c>
      <c r="NYG378" t="str">
        <f>"0419671"</f>
        <v>0419671</v>
      </c>
      <c r="NYH378" t="s">
        <v>199</v>
      </c>
      <c r="NYI378" t="s">
        <v>25</v>
      </c>
      <c r="NYJ378">
        <v>24</v>
      </c>
      <c r="NYK378">
        <v>0.05</v>
      </c>
      <c r="NYL378">
        <v>1</v>
      </c>
      <c r="NYM378" t="s">
        <v>531</v>
      </c>
      <c r="NYN378" t="str">
        <f>"628669010033"</f>
        <v>628669010033</v>
      </c>
      <c r="NYO378" t="str">
        <f>"0419671"</f>
        <v>0419671</v>
      </c>
      <c r="NYP378" t="s">
        <v>199</v>
      </c>
      <c r="NYQ378" t="s">
        <v>25</v>
      </c>
      <c r="NYR378">
        <v>24</v>
      </c>
      <c r="NYS378">
        <v>0.05</v>
      </c>
      <c r="NYT378">
        <v>1</v>
      </c>
      <c r="NYU378" t="s">
        <v>531</v>
      </c>
      <c r="NYV378" t="str">
        <f>"628669010033"</f>
        <v>628669010033</v>
      </c>
      <c r="NYW378" t="str">
        <f>"0419671"</f>
        <v>0419671</v>
      </c>
      <c r="NYX378" t="s">
        <v>199</v>
      </c>
      <c r="NYY378" t="s">
        <v>25</v>
      </c>
      <c r="NYZ378">
        <v>24</v>
      </c>
      <c r="NZA378">
        <v>0.05</v>
      </c>
      <c r="NZB378">
        <v>1</v>
      </c>
      <c r="NZC378" t="s">
        <v>531</v>
      </c>
      <c r="NZD378" t="str">
        <f>"628669010033"</f>
        <v>628669010033</v>
      </c>
      <c r="NZE378" t="str">
        <f>"0419671"</f>
        <v>0419671</v>
      </c>
      <c r="NZF378" t="s">
        <v>199</v>
      </c>
      <c r="NZG378" t="s">
        <v>25</v>
      </c>
      <c r="NZH378">
        <v>24</v>
      </c>
      <c r="NZI378">
        <v>0.05</v>
      </c>
      <c r="NZJ378">
        <v>1</v>
      </c>
      <c r="NZK378" t="s">
        <v>531</v>
      </c>
      <c r="NZL378" t="str">
        <f>"628669010033"</f>
        <v>628669010033</v>
      </c>
      <c r="NZM378" t="str">
        <f>"0419671"</f>
        <v>0419671</v>
      </c>
      <c r="NZN378" t="s">
        <v>199</v>
      </c>
      <c r="NZO378" t="s">
        <v>25</v>
      </c>
      <c r="NZP378">
        <v>24</v>
      </c>
      <c r="NZQ378">
        <v>0.05</v>
      </c>
      <c r="NZR378">
        <v>1</v>
      </c>
      <c r="NZS378" t="s">
        <v>531</v>
      </c>
      <c r="NZT378" t="str">
        <f>"628669010033"</f>
        <v>628669010033</v>
      </c>
      <c r="NZU378" t="str">
        <f>"0419671"</f>
        <v>0419671</v>
      </c>
      <c r="NZV378" t="s">
        <v>199</v>
      </c>
      <c r="NZW378" t="s">
        <v>25</v>
      </c>
      <c r="NZX378">
        <v>24</v>
      </c>
      <c r="NZY378">
        <v>0.05</v>
      </c>
      <c r="NZZ378">
        <v>1</v>
      </c>
      <c r="OAA378" t="s">
        <v>531</v>
      </c>
      <c r="OAB378" t="str">
        <f>"628669010033"</f>
        <v>628669010033</v>
      </c>
      <c r="OAC378" t="str">
        <f>"0419671"</f>
        <v>0419671</v>
      </c>
      <c r="OAD378" t="s">
        <v>199</v>
      </c>
      <c r="OAE378" t="s">
        <v>25</v>
      </c>
      <c r="OAF378">
        <v>24</v>
      </c>
      <c r="OAG378">
        <v>0.05</v>
      </c>
      <c r="OAH378">
        <v>1</v>
      </c>
      <c r="OAI378" t="s">
        <v>531</v>
      </c>
      <c r="OAJ378" t="str">
        <f>"628669010033"</f>
        <v>628669010033</v>
      </c>
      <c r="OAK378" t="str">
        <f>"0419671"</f>
        <v>0419671</v>
      </c>
      <c r="OAL378" t="s">
        <v>199</v>
      </c>
      <c r="OAM378" t="s">
        <v>25</v>
      </c>
      <c r="OAN378">
        <v>24</v>
      </c>
      <c r="OAO378">
        <v>0.05</v>
      </c>
      <c r="OAP378">
        <v>1</v>
      </c>
      <c r="OAQ378" t="s">
        <v>531</v>
      </c>
      <c r="OAR378" t="str">
        <f>"628669010033"</f>
        <v>628669010033</v>
      </c>
      <c r="OAS378" t="str">
        <f>"0419671"</f>
        <v>0419671</v>
      </c>
      <c r="OAT378" t="s">
        <v>199</v>
      </c>
      <c r="OAU378" t="s">
        <v>25</v>
      </c>
      <c r="OAV378">
        <v>24</v>
      </c>
      <c r="OAW378">
        <v>0.05</v>
      </c>
      <c r="OAX378">
        <v>1</v>
      </c>
      <c r="OAY378" t="s">
        <v>531</v>
      </c>
      <c r="OAZ378" t="str">
        <f>"628669010033"</f>
        <v>628669010033</v>
      </c>
      <c r="OBA378" t="str">
        <f>"0419671"</f>
        <v>0419671</v>
      </c>
      <c r="OBB378" t="s">
        <v>199</v>
      </c>
      <c r="OBC378" t="s">
        <v>25</v>
      </c>
      <c r="OBD378">
        <v>24</v>
      </c>
      <c r="OBE378">
        <v>0.05</v>
      </c>
      <c r="OBF378">
        <v>1</v>
      </c>
      <c r="OBG378" t="s">
        <v>531</v>
      </c>
      <c r="OBH378" t="str">
        <f>"628669010033"</f>
        <v>628669010033</v>
      </c>
      <c r="OBI378" t="str">
        <f>"0419671"</f>
        <v>0419671</v>
      </c>
      <c r="OBJ378" t="s">
        <v>199</v>
      </c>
      <c r="OBK378" t="s">
        <v>25</v>
      </c>
      <c r="OBL378">
        <v>24</v>
      </c>
      <c r="OBM378">
        <v>0.05</v>
      </c>
      <c r="OBN378">
        <v>1</v>
      </c>
      <c r="OBO378" t="s">
        <v>531</v>
      </c>
      <c r="OBP378" t="str">
        <f>"628669010033"</f>
        <v>628669010033</v>
      </c>
      <c r="OBQ378" t="str">
        <f>"0419671"</f>
        <v>0419671</v>
      </c>
      <c r="OBR378" t="s">
        <v>199</v>
      </c>
      <c r="OBS378" t="s">
        <v>25</v>
      </c>
      <c r="OBT378">
        <v>24</v>
      </c>
      <c r="OBU378">
        <v>0.05</v>
      </c>
      <c r="OBV378">
        <v>1</v>
      </c>
      <c r="OBW378" t="s">
        <v>531</v>
      </c>
      <c r="OBX378" t="str">
        <f>"628669010033"</f>
        <v>628669010033</v>
      </c>
      <c r="OBY378" t="str">
        <f>"0419671"</f>
        <v>0419671</v>
      </c>
      <c r="OBZ378" t="s">
        <v>199</v>
      </c>
      <c r="OCA378" t="s">
        <v>25</v>
      </c>
      <c r="OCB378">
        <v>24</v>
      </c>
      <c r="OCC378">
        <v>0.05</v>
      </c>
      <c r="OCD378">
        <v>1</v>
      </c>
      <c r="OCE378" t="s">
        <v>531</v>
      </c>
      <c r="OCF378" t="str">
        <f>"628669010033"</f>
        <v>628669010033</v>
      </c>
      <c r="OCG378" t="str">
        <f>"0419671"</f>
        <v>0419671</v>
      </c>
      <c r="OCH378" t="s">
        <v>199</v>
      </c>
      <c r="OCI378" t="s">
        <v>25</v>
      </c>
      <c r="OCJ378">
        <v>24</v>
      </c>
      <c r="OCK378">
        <v>0.05</v>
      </c>
      <c r="OCL378">
        <v>1</v>
      </c>
      <c r="OCM378" t="s">
        <v>531</v>
      </c>
      <c r="OCN378" t="str">
        <f>"628669010033"</f>
        <v>628669010033</v>
      </c>
      <c r="OCO378" t="str">
        <f>"0419671"</f>
        <v>0419671</v>
      </c>
      <c r="OCP378" t="s">
        <v>199</v>
      </c>
      <c r="OCQ378" t="s">
        <v>25</v>
      </c>
      <c r="OCR378">
        <v>24</v>
      </c>
      <c r="OCS378">
        <v>0.05</v>
      </c>
      <c r="OCT378">
        <v>1</v>
      </c>
      <c r="OCU378" t="s">
        <v>531</v>
      </c>
      <c r="OCV378" t="str">
        <f>"628669010033"</f>
        <v>628669010033</v>
      </c>
      <c r="OCW378" t="str">
        <f>"0419671"</f>
        <v>0419671</v>
      </c>
      <c r="OCX378" t="s">
        <v>199</v>
      </c>
      <c r="OCY378" t="s">
        <v>25</v>
      </c>
      <c r="OCZ378">
        <v>24</v>
      </c>
      <c r="ODA378">
        <v>0.05</v>
      </c>
      <c r="ODB378">
        <v>1</v>
      </c>
      <c r="ODC378" t="s">
        <v>531</v>
      </c>
      <c r="ODD378" t="str">
        <f>"628669010033"</f>
        <v>628669010033</v>
      </c>
      <c r="ODE378" t="str">
        <f>"0419671"</f>
        <v>0419671</v>
      </c>
      <c r="ODF378" t="s">
        <v>199</v>
      </c>
      <c r="ODG378" t="s">
        <v>25</v>
      </c>
      <c r="ODH378">
        <v>24</v>
      </c>
      <c r="ODI378">
        <v>0.05</v>
      </c>
      <c r="ODJ378">
        <v>1</v>
      </c>
      <c r="ODK378" t="s">
        <v>531</v>
      </c>
      <c r="ODL378" t="str">
        <f>"628669010033"</f>
        <v>628669010033</v>
      </c>
      <c r="ODM378" t="str">
        <f>"0419671"</f>
        <v>0419671</v>
      </c>
      <c r="ODN378" t="s">
        <v>199</v>
      </c>
      <c r="ODO378" t="s">
        <v>25</v>
      </c>
      <c r="ODP378">
        <v>24</v>
      </c>
      <c r="ODQ378">
        <v>0.05</v>
      </c>
      <c r="ODR378">
        <v>1</v>
      </c>
      <c r="ODS378" t="s">
        <v>531</v>
      </c>
      <c r="ODT378" t="str">
        <f>"628669010033"</f>
        <v>628669010033</v>
      </c>
      <c r="ODU378" t="str">
        <f>"0419671"</f>
        <v>0419671</v>
      </c>
      <c r="ODV378" t="s">
        <v>199</v>
      </c>
      <c r="ODW378" t="s">
        <v>25</v>
      </c>
      <c r="ODX378">
        <v>24</v>
      </c>
      <c r="ODY378">
        <v>0.05</v>
      </c>
      <c r="ODZ378">
        <v>1</v>
      </c>
      <c r="OEA378" t="s">
        <v>531</v>
      </c>
      <c r="OEB378" t="str">
        <f>"628669010033"</f>
        <v>628669010033</v>
      </c>
      <c r="OEC378" t="str">
        <f>"0419671"</f>
        <v>0419671</v>
      </c>
      <c r="OED378" t="s">
        <v>199</v>
      </c>
      <c r="OEE378" t="s">
        <v>25</v>
      </c>
      <c r="OEF378">
        <v>24</v>
      </c>
      <c r="OEG378">
        <v>0.05</v>
      </c>
      <c r="OEH378">
        <v>1</v>
      </c>
      <c r="OEI378" t="s">
        <v>531</v>
      </c>
      <c r="OEJ378" t="str">
        <f>"628669010033"</f>
        <v>628669010033</v>
      </c>
      <c r="OEK378" t="str">
        <f>"0419671"</f>
        <v>0419671</v>
      </c>
      <c r="OEL378" t="s">
        <v>199</v>
      </c>
      <c r="OEM378" t="s">
        <v>25</v>
      </c>
      <c r="OEN378">
        <v>24</v>
      </c>
      <c r="OEO378">
        <v>0.05</v>
      </c>
      <c r="OEP378">
        <v>1</v>
      </c>
      <c r="OEQ378" t="s">
        <v>531</v>
      </c>
      <c r="OER378" t="str">
        <f>"628669010033"</f>
        <v>628669010033</v>
      </c>
      <c r="OES378" t="str">
        <f>"0419671"</f>
        <v>0419671</v>
      </c>
      <c r="OET378" t="s">
        <v>199</v>
      </c>
      <c r="OEU378" t="s">
        <v>25</v>
      </c>
      <c r="OEV378">
        <v>24</v>
      </c>
      <c r="OEW378">
        <v>0.05</v>
      </c>
      <c r="OEX378">
        <v>1</v>
      </c>
      <c r="OEY378" t="s">
        <v>531</v>
      </c>
      <c r="OEZ378" t="str">
        <f>"628669010033"</f>
        <v>628669010033</v>
      </c>
      <c r="OFA378" t="str">
        <f>"0419671"</f>
        <v>0419671</v>
      </c>
      <c r="OFB378" t="s">
        <v>199</v>
      </c>
      <c r="OFC378" t="s">
        <v>25</v>
      </c>
      <c r="OFD378">
        <v>24</v>
      </c>
      <c r="OFE378">
        <v>0.05</v>
      </c>
      <c r="OFF378">
        <v>1</v>
      </c>
      <c r="OFG378" t="s">
        <v>531</v>
      </c>
      <c r="OFH378" t="str">
        <f>"628669010033"</f>
        <v>628669010033</v>
      </c>
      <c r="OFI378" t="str">
        <f>"0419671"</f>
        <v>0419671</v>
      </c>
      <c r="OFJ378" t="s">
        <v>199</v>
      </c>
      <c r="OFK378" t="s">
        <v>25</v>
      </c>
      <c r="OFL378">
        <v>24</v>
      </c>
      <c r="OFM378">
        <v>0.05</v>
      </c>
      <c r="OFN378">
        <v>1</v>
      </c>
      <c r="OFO378" t="s">
        <v>531</v>
      </c>
      <c r="OFP378" t="str">
        <f>"628669010033"</f>
        <v>628669010033</v>
      </c>
      <c r="OFQ378" t="str">
        <f>"0419671"</f>
        <v>0419671</v>
      </c>
      <c r="OFR378" t="s">
        <v>199</v>
      </c>
      <c r="OFS378" t="s">
        <v>25</v>
      </c>
      <c r="OFT378">
        <v>24</v>
      </c>
      <c r="OFU378">
        <v>0.05</v>
      </c>
      <c r="OFV378">
        <v>1</v>
      </c>
      <c r="OFW378" t="s">
        <v>531</v>
      </c>
      <c r="OFX378" t="str">
        <f>"628669010033"</f>
        <v>628669010033</v>
      </c>
      <c r="OFY378" t="str">
        <f>"0419671"</f>
        <v>0419671</v>
      </c>
      <c r="OFZ378" t="s">
        <v>199</v>
      </c>
      <c r="OGA378" t="s">
        <v>25</v>
      </c>
      <c r="OGB378">
        <v>24</v>
      </c>
      <c r="OGC378">
        <v>0.05</v>
      </c>
      <c r="OGD378">
        <v>1</v>
      </c>
      <c r="OGE378" t="s">
        <v>531</v>
      </c>
      <c r="OGF378" t="str">
        <f>"628669010033"</f>
        <v>628669010033</v>
      </c>
      <c r="OGG378" t="str">
        <f>"0419671"</f>
        <v>0419671</v>
      </c>
      <c r="OGH378" t="s">
        <v>199</v>
      </c>
      <c r="OGI378" t="s">
        <v>25</v>
      </c>
      <c r="OGJ378">
        <v>24</v>
      </c>
      <c r="OGK378">
        <v>0.05</v>
      </c>
      <c r="OGL378">
        <v>1</v>
      </c>
      <c r="OGM378" t="s">
        <v>531</v>
      </c>
      <c r="OGN378" t="str">
        <f>"628669010033"</f>
        <v>628669010033</v>
      </c>
      <c r="OGO378" t="str">
        <f>"0419671"</f>
        <v>0419671</v>
      </c>
      <c r="OGP378" t="s">
        <v>199</v>
      </c>
      <c r="OGQ378" t="s">
        <v>25</v>
      </c>
      <c r="OGR378">
        <v>24</v>
      </c>
      <c r="OGS378">
        <v>0.05</v>
      </c>
      <c r="OGT378">
        <v>1</v>
      </c>
      <c r="OGU378" t="s">
        <v>531</v>
      </c>
      <c r="OGV378" t="str">
        <f>"628669010033"</f>
        <v>628669010033</v>
      </c>
      <c r="OGW378" t="str">
        <f>"0419671"</f>
        <v>0419671</v>
      </c>
      <c r="OGX378" t="s">
        <v>199</v>
      </c>
      <c r="OGY378" t="s">
        <v>25</v>
      </c>
      <c r="OGZ378">
        <v>24</v>
      </c>
      <c r="OHA378">
        <v>0.05</v>
      </c>
      <c r="OHB378">
        <v>1</v>
      </c>
      <c r="OHC378" t="s">
        <v>531</v>
      </c>
      <c r="OHD378" t="str">
        <f>"628669010033"</f>
        <v>628669010033</v>
      </c>
      <c r="OHE378" t="str">
        <f>"0419671"</f>
        <v>0419671</v>
      </c>
      <c r="OHF378" t="s">
        <v>199</v>
      </c>
      <c r="OHG378" t="s">
        <v>25</v>
      </c>
      <c r="OHH378">
        <v>24</v>
      </c>
      <c r="OHI378">
        <v>0.05</v>
      </c>
      <c r="OHJ378">
        <v>1</v>
      </c>
      <c r="OHK378" t="s">
        <v>531</v>
      </c>
      <c r="OHL378" t="str">
        <f>"628669010033"</f>
        <v>628669010033</v>
      </c>
      <c r="OHM378" t="str">
        <f>"0419671"</f>
        <v>0419671</v>
      </c>
      <c r="OHN378" t="s">
        <v>199</v>
      </c>
      <c r="OHO378" t="s">
        <v>25</v>
      </c>
      <c r="OHP378">
        <v>24</v>
      </c>
      <c r="OHQ378">
        <v>0.05</v>
      </c>
      <c r="OHR378">
        <v>1</v>
      </c>
      <c r="OHS378" t="s">
        <v>531</v>
      </c>
      <c r="OHT378" t="str">
        <f>"628669010033"</f>
        <v>628669010033</v>
      </c>
      <c r="OHU378" t="str">
        <f>"0419671"</f>
        <v>0419671</v>
      </c>
      <c r="OHV378" t="s">
        <v>199</v>
      </c>
      <c r="OHW378" t="s">
        <v>25</v>
      </c>
      <c r="OHX378">
        <v>24</v>
      </c>
      <c r="OHY378">
        <v>0.05</v>
      </c>
      <c r="OHZ378">
        <v>1</v>
      </c>
      <c r="OIA378" t="s">
        <v>531</v>
      </c>
      <c r="OIB378" t="str">
        <f>"628669010033"</f>
        <v>628669010033</v>
      </c>
      <c r="OIC378" t="str">
        <f>"0419671"</f>
        <v>0419671</v>
      </c>
      <c r="OID378" t="s">
        <v>199</v>
      </c>
      <c r="OIE378" t="s">
        <v>25</v>
      </c>
      <c r="OIF378">
        <v>24</v>
      </c>
      <c r="OIG378">
        <v>0.05</v>
      </c>
      <c r="OIH378">
        <v>1</v>
      </c>
      <c r="OII378" t="s">
        <v>531</v>
      </c>
      <c r="OIJ378" t="str">
        <f>"628669010033"</f>
        <v>628669010033</v>
      </c>
      <c r="OIK378" t="str">
        <f>"0419671"</f>
        <v>0419671</v>
      </c>
      <c r="OIL378" t="s">
        <v>199</v>
      </c>
      <c r="OIM378" t="s">
        <v>25</v>
      </c>
      <c r="OIN378">
        <v>24</v>
      </c>
      <c r="OIO378">
        <v>0.05</v>
      </c>
      <c r="OIP378">
        <v>1</v>
      </c>
      <c r="OIQ378" t="s">
        <v>531</v>
      </c>
      <c r="OIR378" t="str">
        <f>"628669010033"</f>
        <v>628669010033</v>
      </c>
      <c r="OIS378" t="str">
        <f>"0419671"</f>
        <v>0419671</v>
      </c>
      <c r="OIT378" t="s">
        <v>199</v>
      </c>
      <c r="OIU378" t="s">
        <v>25</v>
      </c>
      <c r="OIV378">
        <v>24</v>
      </c>
      <c r="OIW378">
        <v>0.05</v>
      </c>
      <c r="OIX378">
        <v>1</v>
      </c>
      <c r="OIY378" t="s">
        <v>531</v>
      </c>
      <c r="OIZ378" t="str">
        <f>"628669010033"</f>
        <v>628669010033</v>
      </c>
      <c r="OJA378" t="str">
        <f>"0419671"</f>
        <v>0419671</v>
      </c>
      <c r="OJB378" t="s">
        <v>199</v>
      </c>
      <c r="OJC378" t="s">
        <v>25</v>
      </c>
      <c r="OJD378">
        <v>24</v>
      </c>
      <c r="OJE378">
        <v>0.05</v>
      </c>
      <c r="OJF378">
        <v>1</v>
      </c>
      <c r="OJG378" t="s">
        <v>531</v>
      </c>
      <c r="OJH378" t="str">
        <f>"628669010033"</f>
        <v>628669010033</v>
      </c>
      <c r="OJI378" t="str">
        <f>"0419671"</f>
        <v>0419671</v>
      </c>
      <c r="OJJ378" t="s">
        <v>199</v>
      </c>
      <c r="OJK378" t="s">
        <v>25</v>
      </c>
      <c r="OJL378">
        <v>24</v>
      </c>
      <c r="OJM378">
        <v>0.05</v>
      </c>
      <c r="OJN378">
        <v>1</v>
      </c>
      <c r="OJO378" t="s">
        <v>531</v>
      </c>
      <c r="OJP378" t="str">
        <f>"628669010033"</f>
        <v>628669010033</v>
      </c>
      <c r="OJQ378" t="str">
        <f>"0419671"</f>
        <v>0419671</v>
      </c>
      <c r="OJR378" t="s">
        <v>199</v>
      </c>
      <c r="OJS378" t="s">
        <v>25</v>
      </c>
      <c r="OJT378">
        <v>24</v>
      </c>
      <c r="OJU378">
        <v>0.05</v>
      </c>
      <c r="OJV378">
        <v>1</v>
      </c>
      <c r="OJW378" t="s">
        <v>531</v>
      </c>
      <c r="OJX378" t="str">
        <f>"628669010033"</f>
        <v>628669010033</v>
      </c>
      <c r="OJY378" t="str">
        <f>"0419671"</f>
        <v>0419671</v>
      </c>
      <c r="OJZ378" t="s">
        <v>199</v>
      </c>
      <c r="OKA378" t="s">
        <v>25</v>
      </c>
      <c r="OKB378">
        <v>24</v>
      </c>
      <c r="OKC378">
        <v>0.05</v>
      </c>
      <c r="OKD378">
        <v>1</v>
      </c>
      <c r="OKE378" t="s">
        <v>531</v>
      </c>
      <c r="OKF378" t="str">
        <f>"628669010033"</f>
        <v>628669010033</v>
      </c>
      <c r="OKG378" t="str">
        <f>"0419671"</f>
        <v>0419671</v>
      </c>
      <c r="OKH378" t="s">
        <v>199</v>
      </c>
      <c r="OKI378" t="s">
        <v>25</v>
      </c>
      <c r="OKJ378">
        <v>24</v>
      </c>
      <c r="OKK378">
        <v>0.05</v>
      </c>
      <c r="OKL378">
        <v>1</v>
      </c>
      <c r="OKM378" t="s">
        <v>531</v>
      </c>
      <c r="OKN378" t="str">
        <f>"628669010033"</f>
        <v>628669010033</v>
      </c>
      <c r="OKO378" t="str">
        <f>"0419671"</f>
        <v>0419671</v>
      </c>
      <c r="OKP378" t="s">
        <v>199</v>
      </c>
      <c r="OKQ378" t="s">
        <v>25</v>
      </c>
      <c r="OKR378">
        <v>24</v>
      </c>
      <c r="OKS378">
        <v>0.05</v>
      </c>
      <c r="OKT378">
        <v>1</v>
      </c>
      <c r="OKU378" t="s">
        <v>531</v>
      </c>
      <c r="OKV378" t="str">
        <f>"628669010033"</f>
        <v>628669010033</v>
      </c>
      <c r="OKW378" t="str">
        <f>"0419671"</f>
        <v>0419671</v>
      </c>
      <c r="OKX378" t="s">
        <v>199</v>
      </c>
      <c r="OKY378" t="s">
        <v>25</v>
      </c>
      <c r="OKZ378">
        <v>24</v>
      </c>
      <c r="OLA378">
        <v>0.05</v>
      </c>
      <c r="OLB378">
        <v>1</v>
      </c>
      <c r="OLC378" t="s">
        <v>531</v>
      </c>
      <c r="OLD378" t="str">
        <f>"628669010033"</f>
        <v>628669010033</v>
      </c>
      <c r="OLE378" t="str">
        <f>"0419671"</f>
        <v>0419671</v>
      </c>
      <c r="OLF378" t="s">
        <v>199</v>
      </c>
      <c r="OLG378" t="s">
        <v>25</v>
      </c>
      <c r="OLH378">
        <v>24</v>
      </c>
      <c r="OLI378">
        <v>0.05</v>
      </c>
      <c r="OLJ378">
        <v>1</v>
      </c>
      <c r="OLK378" t="s">
        <v>531</v>
      </c>
      <c r="OLL378" t="str">
        <f>"628669010033"</f>
        <v>628669010033</v>
      </c>
      <c r="OLM378" t="str">
        <f>"0419671"</f>
        <v>0419671</v>
      </c>
      <c r="OLN378" t="s">
        <v>199</v>
      </c>
      <c r="OLO378" t="s">
        <v>25</v>
      </c>
      <c r="OLP378">
        <v>24</v>
      </c>
      <c r="OLQ378">
        <v>0.05</v>
      </c>
      <c r="OLR378">
        <v>1</v>
      </c>
      <c r="OLS378" t="s">
        <v>531</v>
      </c>
      <c r="OLT378" t="str">
        <f>"628669010033"</f>
        <v>628669010033</v>
      </c>
      <c r="OLU378" t="str">
        <f>"0419671"</f>
        <v>0419671</v>
      </c>
      <c r="OLV378" t="s">
        <v>199</v>
      </c>
      <c r="OLW378" t="s">
        <v>25</v>
      </c>
      <c r="OLX378">
        <v>24</v>
      </c>
      <c r="OLY378">
        <v>0.05</v>
      </c>
      <c r="OLZ378">
        <v>1</v>
      </c>
      <c r="OMA378" t="s">
        <v>531</v>
      </c>
      <c r="OMB378" t="str">
        <f>"628669010033"</f>
        <v>628669010033</v>
      </c>
      <c r="OMC378" t="str">
        <f>"0419671"</f>
        <v>0419671</v>
      </c>
      <c r="OMD378" t="s">
        <v>199</v>
      </c>
      <c r="OME378" t="s">
        <v>25</v>
      </c>
      <c r="OMF378">
        <v>24</v>
      </c>
      <c r="OMG378">
        <v>0.05</v>
      </c>
      <c r="OMH378">
        <v>1</v>
      </c>
      <c r="OMI378" t="s">
        <v>531</v>
      </c>
      <c r="OMJ378" t="str">
        <f>"628669010033"</f>
        <v>628669010033</v>
      </c>
      <c r="OMK378" t="str">
        <f>"0419671"</f>
        <v>0419671</v>
      </c>
      <c r="OML378" t="s">
        <v>199</v>
      </c>
      <c r="OMM378" t="s">
        <v>25</v>
      </c>
      <c r="OMN378">
        <v>24</v>
      </c>
      <c r="OMO378">
        <v>0.05</v>
      </c>
      <c r="OMP378">
        <v>1</v>
      </c>
      <c r="OMQ378" t="s">
        <v>531</v>
      </c>
      <c r="OMR378" t="str">
        <f>"628669010033"</f>
        <v>628669010033</v>
      </c>
      <c r="OMS378" t="str">
        <f>"0419671"</f>
        <v>0419671</v>
      </c>
      <c r="OMT378" t="s">
        <v>199</v>
      </c>
      <c r="OMU378" t="s">
        <v>25</v>
      </c>
      <c r="OMV378">
        <v>24</v>
      </c>
      <c r="OMW378">
        <v>0.05</v>
      </c>
      <c r="OMX378">
        <v>1</v>
      </c>
      <c r="OMY378" t="s">
        <v>531</v>
      </c>
      <c r="OMZ378" t="str">
        <f>"628669010033"</f>
        <v>628669010033</v>
      </c>
      <c r="ONA378" t="str">
        <f>"0419671"</f>
        <v>0419671</v>
      </c>
      <c r="ONB378" t="s">
        <v>199</v>
      </c>
      <c r="ONC378" t="s">
        <v>25</v>
      </c>
      <c r="OND378">
        <v>24</v>
      </c>
      <c r="ONE378">
        <v>0.05</v>
      </c>
      <c r="ONF378">
        <v>1</v>
      </c>
      <c r="ONG378" t="s">
        <v>531</v>
      </c>
      <c r="ONH378" t="str">
        <f>"628669010033"</f>
        <v>628669010033</v>
      </c>
      <c r="ONI378" t="str">
        <f>"0419671"</f>
        <v>0419671</v>
      </c>
      <c r="ONJ378" t="s">
        <v>199</v>
      </c>
      <c r="ONK378" t="s">
        <v>25</v>
      </c>
      <c r="ONL378">
        <v>24</v>
      </c>
      <c r="ONM378">
        <v>0.05</v>
      </c>
      <c r="ONN378">
        <v>1</v>
      </c>
      <c r="ONO378" t="s">
        <v>531</v>
      </c>
      <c r="ONP378" t="str">
        <f>"628669010033"</f>
        <v>628669010033</v>
      </c>
      <c r="ONQ378" t="str">
        <f>"0419671"</f>
        <v>0419671</v>
      </c>
      <c r="ONR378" t="s">
        <v>199</v>
      </c>
      <c r="ONS378" t="s">
        <v>25</v>
      </c>
      <c r="ONT378">
        <v>24</v>
      </c>
      <c r="ONU378">
        <v>0.05</v>
      </c>
      <c r="ONV378">
        <v>1</v>
      </c>
      <c r="ONW378" t="s">
        <v>531</v>
      </c>
      <c r="ONX378" t="str">
        <f>"628669010033"</f>
        <v>628669010033</v>
      </c>
      <c r="ONY378" t="str">
        <f>"0419671"</f>
        <v>0419671</v>
      </c>
      <c r="ONZ378" t="s">
        <v>199</v>
      </c>
      <c r="OOA378" t="s">
        <v>25</v>
      </c>
      <c r="OOB378">
        <v>24</v>
      </c>
      <c r="OOC378">
        <v>0.05</v>
      </c>
      <c r="OOD378">
        <v>1</v>
      </c>
      <c r="OOE378" t="s">
        <v>531</v>
      </c>
      <c r="OOF378" t="str">
        <f>"628669010033"</f>
        <v>628669010033</v>
      </c>
      <c r="OOG378" t="str">
        <f>"0419671"</f>
        <v>0419671</v>
      </c>
      <c r="OOH378" t="s">
        <v>199</v>
      </c>
      <c r="OOI378" t="s">
        <v>25</v>
      </c>
      <c r="OOJ378">
        <v>24</v>
      </c>
      <c r="OOK378">
        <v>0.05</v>
      </c>
      <c r="OOL378">
        <v>1</v>
      </c>
      <c r="OOM378" t="s">
        <v>531</v>
      </c>
      <c r="OON378" t="str">
        <f>"628669010033"</f>
        <v>628669010033</v>
      </c>
      <c r="OOO378" t="str">
        <f>"0419671"</f>
        <v>0419671</v>
      </c>
      <c r="OOP378" t="s">
        <v>199</v>
      </c>
      <c r="OOQ378" t="s">
        <v>25</v>
      </c>
      <c r="OOR378">
        <v>24</v>
      </c>
      <c r="OOS378">
        <v>0.05</v>
      </c>
      <c r="OOT378">
        <v>1</v>
      </c>
      <c r="OOU378" t="s">
        <v>531</v>
      </c>
      <c r="OOV378" t="str">
        <f>"628669010033"</f>
        <v>628669010033</v>
      </c>
      <c r="OOW378" t="str">
        <f>"0419671"</f>
        <v>0419671</v>
      </c>
      <c r="OOX378" t="s">
        <v>199</v>
      </c>
      <c r="OOY378" t="s">
        <v>25</v>
      </c>
      <c r="OOZ378">
        <v>24</v>
      </c>
      <c r="OPA378">
        <v>0.05</v>
      </c>
      <c r="OPB378">
        <v>1</v>
      </c>
      <c r="OPC378" t="s">
        <v>531</v>
      </c>
      <c r="OPD378" t="str">
        <f>"628669010033"</f>
        <v>628669010033</v>
      </c>
      <c r="OPE378" t="str">
        <f>"0419671"</f>
        <v>0419671</v>
      </c>
      <c r="OPF378" t="s">
        <v>199</v>
      </c>
      <c r="OPG378" t="s">
        <v>25</v>
      </c>
      <c r="OPH378">
        <v>24</v>
      </c>
      <c r="OPI378">
        <v>0.05</v>
      </c>
      <c r="OPJ378">
        <v>1</v>
      </c>
      <c r="OPK378" t="s">
        <v>531</v>
      </c>
      <c r="OPL378" t="str">
        <f>"628669010033"</f>
        <v>628669010033</v>
      </c>
      <c r="OPM378" t="str">
        <f>"0419671"</f>
        <v>0419671</v>
      </c>
      <c r="OPN378" t="s">
        <v>199</v>
      </c>
      <c r="OPO378" t="s">
        <v>25</v>
      </c>
      <c r="OPP378">
        <v>24</v>
      </c>
      <c r="OPQ378">
        <v>0.05</v>
      </c>
      <c r="OPR378">
        <v>1</v>
      </c>
      <c r="OPS378" t="s">
        <v>531</v>
      </c>
      <c r="OPT378" t="str">
        <f>"628669010033"</f>
        <v>628669010033</v>
      </c>
      <c r="OPU378" t="str">
        <f>"0419671"</f>
        <v>0419671</v>
      </c>
      <c r="OPV378" t="s">
        <v>199</v>
      </c>
      <c r="OPW378" t="s">
        <v>25</v>
      </c>
      <c r="OPX378">
        <v>24</v>
      </c>
      <c r="OPY378">
        <v>0.05</v>
      </c>
      <c r="OPZ378">
        <v>1</v>
      </c>
      <c r="OQA378" t="s">
        <v>531</v>
      </c>
      <c r="OQB378" t="str">
        <f>"628669010033"</f>
        <v>628669010033</v>
      </c>
      <c r="OQC378" t="str">
        <f>"0419671"</f>
        <v>0419671</v>
      </c>
      <c r="OQD378" t="s">
        <v>199</v>
      </c>
      <c r="OQE378" t="s">
        <v>25</v>
      </c>
      <c r="OQF378">
        <v>24</v>
      </c>
      <c r="OQG378">
        <v>0.05</v>
      </c>
      <c r="OQH378">
        <v>1</v>
      </c>
      <c r="OQI378" t="s">
        <v>531</v>
      </c>
      <c r="OQJ378" t="str">
        <f>"628669010033"</f>
        <v>628669010033</v>
      </c>
      <c r="OQK378" t="str">
        <f>"0419671"</f>
        <v>0419671</v>
      </c>
      <c r="OQL378" t="s">
        <v>199</v>
      </c>
      <c r="OQM378" t="s">
        <v>25</v>
      </c>
      <c r="OQN378">
        <v>24</v>
      </c>
      <c r="OQO378">
        <v>0.05</v>
      </c>
      <c r="OQP378">
        <v>1</v>
      </c>
      <c r="OQQ378" t="s">
        <v>531</v>
      </c>
      <c r="OQR378" t="str">
        <f>"628669010033"</f>
        <v>628669010033</v>
      </c>
      <c r="OQS378" t="str">
        <f>"0419671"</f>
        <v>0419671</v>
      </c>
      <c r="OQT378" t="s">
        <v>199</v>
      </c>
      <c r="OQU378" t="s">
        <v>25</v>
      </c>
      <c r="OQV378">
        <v>24</v>
      </c>
      <c r="OQW378">
        <v>0.05</v>
      </c>
      <c r="OQX378">
        <v>1</v>
      </c>
      <c r="OQY378" t="s">
        <v>531</v>
      </c>
      <c r="OQZ378" t="str">
        <f>"628669010033"</f>
        <v>628669010033</v>
      </c>
      <c r="ORA378" t="str">
        <f>"0419671"</f>
        <v>0419671</v>
      </c>
      <c r="ORB378" t="s">
        <v>199</v>
      </c>
      <c r="ORC378" t="s">
        <v>25</v>
      </c>
      <c r="ORD378">
        <v>24</v>
      </c>
      <c r="ORE378">
        <v>0.05</v>
      </c>
      <c r="ORF378">
        <v>1</v>
      </c>
      <c r="ORG378" t="s">
        <v>531</v>
      </c>
      <c r="ORH378" t="str">
        <f>"628669010033"</f>
        <v>628669010033</v>
      </c>
      <c r="ORI378" t="str">
        <f>"0419671"</f>
        <v>0419671</v>
      </c>
      <c r="ORJ378" t="s">
        <v>199</v>
      </c>
      <c r="ORK378" t="s">
        <v>25</v>
      </c>
      <c r="ORL378">
        <v>24</v>
      </c>
      <c r="ORM378">
        <v>0.05</v>
      </c>
      <c r="ORN378">
        <v>1</v>
      </c>
      <c r="ORO378" t="s">
        <v>531</v>
      </c>
      <c r="ORP378" t="str">
        <f>"628669010033"</f>
        <v>628669010033</v>
      </c>
      <c r="ORQ378" t="str">
        <f>"0419671"</f>
        <v>0419671</v>
      </c>
      <c r="ORR378" t="s">
        <v>199</v>
      </c>
      <c r="ORS378" t="s">
        <v>25</v>
      </c>
      <c r="ORT378">
        <v>24</v>
      </c>
      <c r="ORU378">
        <v>0.05</v>
      </c>
      <c r="ORV378">
        <v>1</v>
      </c>
      <c r="ORW378" t="s">
        <v>531</v>
      </c>
      <c r="ORX378" t="str">
        <f>"628669010033"</f>
        <v>628669010033</v>
      </c>
      <c r="ORY378" t="str">
        <f>"0419671"</f>
        <v>0419671</v>
      </c>
      <c r="ORZ378" t="s">
        <v>199</v>
      </c>
      <c r="OSA378" t="s">
        <v>25</v>
      </c>
      <c r="OSB378">
        <v>24</v>
      </c>
      <c r="OSC378">
        <v>0.05</v>
      </c>
      <c r="OSD378">
        <v>1</v>
      </c>
      <c r="OSE378" t="s">
        <v>531</v>
      </c>
      <c r="OSF378" t="str">
        <f>"628669010033"</f>
        <v>628669010033</v>
      </c>
      <c r="OSG378" t="str">
        <f>"0419671"</f>
        <v>0419671</v>
      </c>
      <c r="OSH378" t="s">
        <v>199</v>
      </c>
      <c r="OSI378" t="s">
        <v>25</v>
      </c>
      <c r="OSJ378">
        <v>24</v>
      </c>
      <c r="OSK378">
        <v>0.05</v>
      </c>
      <c r="OSL378">
        <v>1</v>
      </c>
      <c r="OSM378" t="s">
        <v>531</v>
      </c>
      <c r="OSN378" t="str">
        <f>"628669010033"</f>
        <v>628669010033</v>
      </c>
      <c r="OSO378" t="str">
        <f>"0419671"</f>
        <v>0419671</v>
      </c>
      <c r="OSP378" t="s">
        <v>199</v>
      </c>
      <c r="OSQ378" t="s">
        <v>25</v>
      </c>
      <c r="OSR378">
        <v>24</v>
      </c>
      <c r="OSS378">
        <v>0.05</v>
      </c>
      <c r="OST378">
        <v>1</v>
      </c>
      <c r="OSU378" t="s">
        <v>531</v>
      </c>
      <c r="OSV378" t="str">
        <f>"628669010033"</f>
        <v>628669010033</v>
      </c>
      <c r="OSW378" t="str">
        <f>"0419671"</f>
        <v>0419671</v>
      </c>
      <c r="OSX378" t="s">
        <v>199</v>
      </c>
      <c r="OSY378" t="s">
        <v>25</v>
      </c>
      <c r="OSZ378">
        <v>24</v>
      </c>
      <c r="OTA378">
        <v>0.05</v>
      </c>
      <c r="OTB378">
        <v>1</v>
      </c>
      <c r="OTC378" t="s">
        <v>531</v>
      </c>
      <c r="OTD378" t="str">
        <f>"628669010033"</f>
        <v>628669010033</v>
      </c>
      <c r="OTE378" t="str">
        <f>"0419671"</f>
        <v>0419671</v>
      </c>
      <c r="OTF378" t="s">
        <v>199</v>
      </c>
      <c r="OTG378" t="s">
        <v>25</v>
      </c>
      <c r="OTH378">
        <v>24</v>
      </c>
      <c r="OTI378">
        <v>0.05</v>
      </c>
      <c r="OTJ378">
        <v>1</v>
      </c>
      <c r="OTK378" t="s">
        <v>531</v>
      </c>
      <c r="OTL378" t="str">
        <f>"628669010033"</f>
        <v>628669010033</v>
      </c>
      <c r="OTM378" t="str">
        <f>"0419671"</f>
        <v>0419671</v>
      </c>
      <c r="OTN378" t="s">
        <v>199</v>
      </c>
      <c r="OTO378" t="s">
        <v>25</v>
      </c>
      <c r="OTP378">
        <v>24</v>
      </c>
      <c r="OTQ378">
        <v>0.05</v>
      </c>
      <c r="OTR378">
        <v>1</v>
      </c>
      <c r="OTS378" t="s">
        <v>531</v>
      </c>
      <c r="OTT378" t="str">
        <f>"628669010033"</f>
        <v>628669010033</v>
      </c>
      <c r="OTU378" t="str">
        <f>"0419671"</f>
        <v>0419671</v>
      </c>
      <c r="OTV378" t="s">
        <v>199</v>
      </c>
      <c r="OTW378" t="s">
        <v>25</v>
      </c>
      <c r="OTX378">
        <v>24</v>
      </c>
      <c r="OTY378">
        <v>0.05</v>
      </c>
      <c r="OTZ378">
        <v>1</v>
      </c>
      <c r="OUA378" t="s">
        <v>531</v>
      </c>
      <c r="OUB378" t="str">
        <f>"628669010033"</f>
        <v>628669010033</v>
      </c>
      <c r="OUC378" t="str">
        <f>"0419671"</f>
        <v>0419671</v>
      </c>
      <c r="OUD378" t="s">
        <v>199</v>
      </c>
      <c r="OUE378" t="s">
        <v>25</v>
      </c>
      <c r="OUF378">
        <v>24</v>
      </c>
      <c r="OUG378">
        <v>0.05</v>
      </c>
      <c r="OUH378">
        <v>1</v>
      </c>
      <c r="OUI378" t="s">
        <v>531</v>
      </c>
      <c r="OUJ378" t="str">
        <f>"628669010033"</f>
        <v>628669010033</v>
      </c>
      <c r="OUK378" t="str">
        <f>"0419671"</f>
        <v>0419671</v>
      </c>
      <c r="OUL378" t="s">
        <v>199</v>
      </c>
      <c r="OUM378" t="s">
        <v>25</v>
      </c>
      <c r="OUN378">
        <v>24</v>
      </c>
      <c r="OUO378">
        <v>0.05</v>
      </c>
      <c r="OUP378">
        <v>1</v>
      </c>
      <c r="OUQ378" t="s">
        <v>531</v>
      </c>
      <c r="OUR378" t="str">
        <f>"628669010033"</f>
        <v>628669010033</v>
      </c>
      <c r="OUS378" t="str">
        <f>"0419671"</f>
        <v>0419671</v>
      </c>
      <c r="OUT378" t="s">
        <v>199</v>
      </c>
      <c r="OUU378" t="s">
        <v>25</v>
      </c>
      <c r="OUV378">
        <v>24</v>
      </c>
      <c r="OUW378">
        <v>0.05</v>
      </c>
      <c r="OUX378">
        <v>1</v>
      </c>
      <c r="OUY378" t="s">
        <v>531</v>
      </c>
      <c r="OUZ378" t="str">
        <f>"628669010033"</f>
        <v>628669010033</v>
      </c>
      <c r="OVA378" t="str">
        <f>"0419671"</f>
        <v>0419671</v>
      </c>
      <c r="OVB378" t="s">
        <v>199</v>
      </c>
      <c r="OVC378" t="s">
        <v>25</v>
      </c>
      <c r="OVD378">
        <v>24</v>
      </c>
      <c r="OVE378">
        <v>0.05</v>
      </c>
      <c r="OVF378">
        <v>1</v>
      </c>
      <c r="OVG378" t="s">
        <v>531</v>
      </c>
      <c r="OVH378" t="str">
        <f>"628669010033"</f>
        <v>628669010033</v>
      </c>
      <c r="OVI378" t="str">
        <f>"0419671"</f>
        <v>0419671</v>
      </c>
      <c r="OVJ378" t="s">
        <v>199</v>
      </c>
      <c r="OVK378" t="s">
        <v>25</v>
      </c>
      <c r="OVL378">
        <v>24</v>
      </c>
      <c r="OVM378">
        <v>0.05</v>
      </c>
      <c r="OVN378">
        <v>1</v>
      </c>
      <c r="OVO378" t="s">
        <v>531</v>
      </c>
      <c r="OVP378" t="str">
        <f>"628669010033"</f>
        <v>628669010033</v>
      </c>
      <c r="OVQ378" t="str">
        <f>"0419671"</f>
        <v>0419671</v>
      </c>
      <c r="OVR378" t="s">
        <v>199</v>
      </c>
      <c r="OVS378" t="s">
        <v>25</v>
      </c>
      <c r="OVT378">
        <v>24</v>
      </c>
      <c r="OVU378">
        <v>0.05</v>
      </c>
      <c r="OVV378">
        <v>1</v>
      </c>
      <c r="OVW378" t="s">
        <v>531</v>
      </c>
      <c r="OVX378" t="str">
        <f>"628669010033"</f>
        <v>628669010033</v>
      </c>
      <c r="OVY378" t="str">
        <f>"0419671"</f>
        <v>0419671</v>
      </c>
      <c r="OVZ378" t="s">
        <v>199</v>
      </c>
      <c r="OWA378" t="s">
        <v>25</v>
      </c>
      <c r="OWB378">
        <v>24</v>
      </c>
      <c r="OWC378">
        <v>0.05</v>
      </c>
      <c r="OWD378">
        <v>1</v>
      </c>
      <c r="OWE378" t="s">
        <v>531</v>
      </c>
      <c r="OWF378" t="str">
        <f>"628669010033"</f>
        <v>628669010033</v>
      </c>
      <c r="OWG378" t="str">
        <f>"0419671"</f>
        <v>0419671</v>
      </c>
      <c r="OWH378" t="s">
        <v>199</v>
      </c>
      <c r="OWI378" t="s">
        <v>25</v>
      </c>
      <c r="OWJ378">
        <v>24</v>
      </c>
      <c r="OWK378">
        <v>0.05</v>
      </c>
      <c r="OWL378">
        <v>1</v>
      </c>
      <c r="OWM378" t="s">
        <v>531</v>
      </c>
      <c r="OWN378" t="str">
        <f>"628669010033"</f>
        <v>628669010033</v>
      </c>
      <c r="OWO378" t="str">
        <f>"0419671"</f>
        <v>0419671</v>
      </c>
      <c r="OWP378" t="s">
        <v>199</v>
      </c>
      <c r="OWQ378" t="s">
        <v>25</v>
      </c>
      <c r="OWR378">
        <v>24</v>
      </c>
      <c r="OWS378">
        <v>0.05</v>
      </c>
      <c r="OWT378">
        <v>1</v>
      </c>
      <c r="OWU378" t="s">
        <v>531</v>
      </c>
      <c r="OWV378" t="str">
        <f>"628669010033"</f>
        <v>628669010033</v>
      </c>
      <c r="OWW378" t="str">
        <f>"0419671"</f>
        <v>0419671</v>
      </c>
      <c r="OWX378" t="s">
        <v>199</v>
      </c>
      <c r="OWY378" t="s">
        <v>25</v>
      </c>
      <c r="OWZ378">
        <v>24</v>
      </c>
      <c r="OXA378">
        <v>0.05</v>
      </c>
      <c r="OXB378">
        <v>1</v>
      </c>
      <c r="OXC378" t="s">
        <v>531</v>
      </c>
      <c r="OXD378" t="str">
        <f>"628669010033"</f>
        <v>628669010033</v>
      </c>
      <c r="OXE378" t="str">
        <f>"0419671"</f>
        <v>0419671</v>
      </c>
      <c r="OXF378" t="s">
        <v>199</v>
      </c>
      <c r="OXG378" t="s">
        <v>25</v>
      </c>
      <c r="OXH378">
        <v>24</v>
      </c>
      <c r="OXI378">
        <v>0.05</v>
      </c>
      <c r="OXJ378">
        <v>1</v>
      </c>
      <c r="OXK378" t="s">
        <v>531</v>
      </c>
      <c r="OXL378" t="str">
        <f>"628669010033"</f>
        <v>628669010033</v>
      </c>
      <c r="OXM378" t="str">
        <f>"0419671"</f>
        <v>0419671</v>
      </c>
      <c r="OXN378" t="s">
        <v>199</v>
      </c>
      <c r="OXO378" t="s">
        <v>25</v>
      </c>
      <c r="OXP378">
        <v>24</v>
      </c>
      <c r="OXQ378">
        <v>0.05</v>
      </c>
      <c r="OXR378">
        <v>1</v>
      </c>
      <c r="OXS378" t="s">
        <v>531</v>
      </c>
      <c r="OXT378" t="str">
        <f>"628669010033"</f>
        <v>628669010033</v>
      </c>
      <c r="OXU378" t="str">
        <f>"0419671"</f>
        <v>0419671</v>
      </c>
      <c r="OXV378" t="s">
        <v>199</v>
      </c>
      <c r="OXW378" t="s">
        <v>25</v>
      </c>
      <c r="OXX378">
        <v>24</v>
      </c>
      <c r="OXY378">
        <v>0.05</v>
      </c>
      <c r="OXZ378">
        <v>1</v>
      </c>
      <c r="OYA378" t="s">
        <v>531</v>
      </c>
      <c r="OYB378" t="str">
        <f>"628669010033"</f>
        <v>628669010033</v>
      </c>
      <c r="OYC378" t="str">
        <f>"0419671"</f>
        <v>0419671</v>
      </c>
      <c r="OYD378" t="s">
        <v>199</v>
      </c>
      <c r="OYE378" t="s">
        <v>25</v>
      </c>
      <c r="OYF378">
        <v>24</v>
      </c>
      <c r="OYG378">
        <v>0.05</v>
      </c>
      <c r="OYH378">
        <v>1</v>
      </c>
      <c r="OYI378" t="s">
        <v>531</v>
      </c>
      <c r="OYJ378" t="str">
        <f>"628669010033"</f>
        <v>628669010033</v>
      </c>
      <c r="OYK378" t="str">
        <f>"0419671"</f>
        <v>0419671</v>
      </c>
      <c r="OYL378" t="s">
        <v>199</v>
      </c>
      <c r="OYM378" t="s">
        <v>25</v>
      </c>
      <c r="OYN378">
        <v>24</v>
      </c>
      <c r="OYO378">
        <v>0.05</v>
      </c>
      <c r="OYP378">
        <v>1</v>
      </c>
      <c r="OYQ378" t="s">
        <v>531</v>
      </c>
      <c r="OYR378" t="str">
        <f>"628669010033"</f>
        <v>628669010033</v>
      </c>
      <c r="OYS378" t="str">
        <f>"0419671"</f>
        <v>0419671</v>
      </c>
      <c r="OYT378" t="s">
        <v>199</v>
      </c>
      <c r="OYU378" t="s">
        <v>25</v>
      </c>
      <c r="OYV378">
        <v>24</v>
      </c>
      <c r="OYW378">
        <v>0.05</v>
      </c>
      <c r="OYX378">
        <v>1</v>
      </c>
      <c r="OYY378" t="s">
        <v>531</v>
      </c>
      <c r="OYZ378" t="str">
        <f>"628669010033"</f>
        <v>628669010033</v>
      </c>
      <c r="OZA378" t="str">
        <f>"0419671"</f>
        <v>0419671</v>
      </c>
      <c r="OZB378" t="s">
        <v>199</v>
      </c>
      <c r="OZC378" t="s">
        <v>25</v>
      </c>
      <c r="OZD378">
        <v>24</v>
      </c>
      <c r="OZE378">
        <v>0.05</v>
      </c>
      <c r="OZF378">
        <v>1</v>
      </c>
      <c r="OZG378" t="s">
        <v>531</v>
      </c>
      <c r="OZH378" t="str">
        <f>"628669010033"</f>
        <v>628669010033</v>
      </c>
      <c r="OZI378" t="str">
        <f>"0419671"</f>
        <v>0419671</v>
      </c>
      <c r="OZJ378" t="s">
        <v>199</v>
      </c>
      <c r="OZK378" t="s">
        <v>25</v>
      </c>
      <c r="OZL378">
        <v>24</v>
      </c>
      <c r="OZM378">
        <v>0.05</v>
      </c>
      <c r="OZN378">
        <v>1</v>
      </c>
      <c r="OZO378" t="s">
        <v>531</v>
      </c>
      <c r="OZP378" t="str">
        <f>"628669010033"</f>
        <v>628669010033</v>
      </c>
      <c r="OZQ378" t="str">
        <f>"0419671"</f>
        <v>0419671</v>
      </c>
      <c r="OZR378" t="s">
        <v>199</v>
      </c>
      <c r="OZS378" t="s">
        <v>25</v>
      </c>
      <c r="OZT378">
        <v>24</v>
      </c>
      <c r="OZU378">
        <v>0.05</v>
      </c>
      <c r="OZV378">
        <v>1</v>
      </c>
      <c r="OZW378" t="s">
        <v>531</v>
      </c>
      <c r="OZX378" t="str">
        <f>"628669010033"</f>
        <v>628669010033</v>
      </c>
      <c r="OZY378" t="str">
        <f>"0419671"</f>
        <v>0419671</v>
      </c>
      <c r="OZZ378" t="s">
        <v>199</v>
      </c>
      <c r="PAA378" t="s">
        <v>25</v>
      </c>
      <c r="PAB378">
        <v>24</v>
      </c>
      <c r="PAC378">
        <v>0.05</v>
      </c>
      <c r="PAD378">
        <v>1</v>
      </c>
      <c r="PAE378" t="s">
        <v>531</v>
      </c>
      <c r="PAF378" t="str">
        <f>"628669010033"</f>
        <v>628669010033</v>
      </c>
      <c r="PAG378" t="str">
        <f>"0419671"</f>
        <v>0419671</v>
      </c>
      <c r="PAH378" t="s">
        <v>199</v>
      </c>
      <c r="PAI378" t="s">
        <v>25</v>
      </c>
      <c r="PAJ378">
        <v>24</v>
      </c>
      <c r="PAK378">
        <v>0.05</v>
      </c>
      <c r="PAL378">
        <v>1</v>
      </c>
      <c r="PAM378" t="s">
        <v>531</v>
      </c>
      <c r="PAN378" t="str">
        <f>"628669010033"</f>
        <v>628669010033</v>
      </c>
      <c r="PAO378" t="str">
        <f>"0419671"</f>
        <v>0419671</v>
      </c>
      <c r="PAP378" t="s">
        <v>199</v>
      </c>
      <c r="PAQ378" t="s">
        <v>25</v>
      </c>
      <c r="PAR378">
        <v>24</v>
      </c>
      <c r="PAS378">
        <v>0.05</v>
      </c>
      <c r="PAT378">
        <v>1</v>
      </c>
      <c r="PAU378" t="s">
        <v>531</v>
      </c>
      <c r="PAV378" t="str">
        <f>"628669010033"</f>
        <v>628669010033</v>
      </c>
      <c r="PAW378" t="str">
        <f>"0419671"</f>
        <v>0419671</v>
      </c>
      <c r="PAX378" t="s">
        <v>199</v>
      </c>
      <c r="PAY378" t="s">
        <v>25</v>
      </c>
      <c r="PAZ378">
        <v>24</v>
      </c>
      <c r="PBA378">
        <v>0.05</v>
      </c>
      <c r="PBB378">
        <v>1</v>
      </c>
      <c r="PBC378" t="s">
        <v>531</v>
      </c>
      <c r="PBD378" t="str">
        <f>"628669010033"</f>
        <v>628669010033</v>
      </c>
      <c r="PBE378" t="str">
        <f>"0419671"</f>
        <v>0419671</v>
      </c>
      <c r="PBF378" t="s">
        <v>199</v>
      </c>
      <c r="PBG378" t="s">
        <v>25</v>
      </c>
      <c r="PBH378">
        <v>24</v>
      </c>
      <c r="PBI378">
        <v>0.05</v>
      </c>
      <c r="PBJ378">
        <v>1</v>
      </c>
      <c r="PBK378" t="s">
        <v>531</v>
      </c>
      <c r="PBL378" t="str">
        <f>"628669010033"</f>
        <v>628669010033</v>
      </c>
      <c r="PBM378" t="str">
        <f>"0419671"</f>
        <v>0419671</v>
      </c>
      <c r="PBN378" t="s">
        <v>199</v>
      </c>
      <c r="PBO378" t="s">
        <v>25</v>
      </c>
      <c r="PBP378">
        <v>24</v>
      </c>
      <c r="PBQ378">
        <v>0.05</v>
      </c>
      <c r="PBR378">
        <v>1</v>
      </c>
      <c r="PBS378" t="s">
        <v>531</v>
      </c>
      <c r="PBT378" t="str">
        <f>"628669010033"</f>
        <v>628669010033</v>
      </c>
      <c r="PBU378" t="str">
        <f>"0419671"</f>
        <v>0419671</v>
      </c>
      <c r="PBV378" t="s">
        <v>199</v>
      </c>
      <c r="PBW378" t="s">
        <v>25</v>
      </c>
      <c r="PBX378">
        <v>24</v>
      </c>
      <c r="PBY378">
        <v>0.05</v>
      </c>
      <c r="PBZ378">
        <v>1</v>
      </c>
      <c r="PCA378" t="s">
        <v>531</v>
      </c>
      <c r="PCB378" t="str">
        <f>"628669010033"</f>
        <v>628669010033</v>
      </c>
      <c r="PCC378" t="str">
        <f>"0419671"</f>
        <v>0419671</v>
      </c>
      <c r="PCD378" t="s">
        <v>199</v>
      </c>
      <c r="PCE378" t="s">
        <v>25</v>
      </c>
      <c r="PCF378">
        <v>24</v>
      </c>
      <c r="PCG378">
        <v>0.05</v>
      </c>
      <c r="PCH378">
        <v>1</v>
      </c>
      <c r="PCI378" t="s">
        <v>531</v>
      </c>
      <c r="PCJ378" t="str">
        <f>"628669010033"</f>
        <v>628669010033</v>
      </c>
      <c r="PCK378" t="str">
        <f>"0419671"</f>
        <v>0419671</v>
      </c>
      <c r="PCL378" t="s">
        <v>199</v>
      </c>
      <c r="PCM378" t="s">
        <v>25</v>
      </c>
      <c r="PCN378">
        <v>24</v>
      </c>
      <c r="PCO378">
        <v>0.05</v>
      </c>
      <c r="PCP378">
        <v>1</v>
      </c>
      <c r="PCQ378" t="s">
        <v>531</v>
      </c>
      <c r="PCR378" t="str">
        <f>"628669010033"</f>
        <v>628669010033</v>
      </c>
      <c r="PCS378" t="str">
        <f>"0419671"</f>
        <v>0419671</v>
      </c>
      <c r="PCT378" t="s">
        <v>199</v>
      </c>
      <c r="PCU378" t="s">
        <v>25</v>
      </c>
      <c r="PCV378">
        <v>24</v>
      </c>
      <c r="PCW378">
        <v>0.05</v>
      </c>
      <c r="PCX378">
        <v>1</v>
      </c>
      <c r="PCY378" t="s">
        <v>531</v>
      </c>
      <c r="PCZ378" t="str">
        <f>"628669010033"</f>
        <v>628669010033</v>
      </c>
      <c r="PDA378" t="str">
        <f>"0419671"</f>
        <v>0419671</v>
      </c>
      <c r="PDB378" t="s">
        <v>199</v>
      </c>
      <c r="PDC378" t="s">
        <v>25</v>
      </c>
      <c r="PDD378">
        <v>24</v>
      </c>
      <c r="PDE378">
        <v>0.05</v>
      </c>
      <c r="PDF378">
        <v>1</v>
      </c>
      <c r="PDG378" t="s">
        <v>531</v>
      </c>
      <c r="PDH378" t="str">
        <f>"628669010033"</f>
        <v>628669010033</v>
      </c>
      <c r="PDI378" t="str">
        <f>"0419671"</f>
        <v>0419671</v>
      </c>
      <c r="PDJ378" t="s">
        <v>199</v>
      </c>
      <c r="PDK378" t="s">
        <v>25</v>
      </c>
      <c r="PDL378">
        <v>24</v>
      </c>
      <c r="PDM378">
        <v>0.05</v>
      </c>
      <c r="PDN378">
        <v>1</v>
      </c>
      <c r="PDO378" t="s">
        <v>531</v>
      </c>
      <c r="PDP378" t="str">
        <f>"628669010033"</f>
        <v>628669010033</v>
      </c>
      <c r="PDQ378" t="str">
        <f>"0419671"</f>
        <v>0419671</v>
      </c>
      <c r="PDR378" t="s">
        <v>199</v>
      </c>
      <c r="PDS378" t="s">
        <v>25</v>
      </c>
      <c r="PDT378">
        <v>24</v>
      </c>
      <c r="PDU378">
        <v>0.05</v>
      </c>
      <c r="PDV378">
        <v>1</v>
      </c>
      <c r="PDW378" t="s">
        <v>531</v>
      </c>
      <c r="PDX378" t="str">
        <f>"628669010033"</f>
        <v>628669010033</v>
      </c>
      <c r="PDY378" t="str">
        <f>"0419671"</f>
        <v>0419671</v>
      </c>
      <c r="PDZ378" t="s">
        <v>199</v>
      </c>
      <c r="PEA378" t="s">
        <v>25</v>
      </c>
      <c r="PEB378">
        <v>24</v>
      </c>
      <c r="PEC378">
        <v>0.05</v>
      </c>
      <c r="PED378">
        <v>1</v>
      </c>
      <c r="PEE378" t="s">
        <v>531</v>
      </c>
      <c r="PEF378" t="str">
        <f>"628669010033"</f>
        <v>628669010033</v>
      </c>
      <c r="PEG378" t="str">
        <f>"0419671"</f>
        <v>0419671</v>
      </c>
      <c r="PEH378" t="s">
        <v>199</v>
      </c>
      <c r="PEI378" t="s">
        <v>25</v>
      </c>
      <c r="PEJ378">
        <v>24</v>
      </c>
      <c r="PEK378">
        <v>0.05</v>
      </c>
      <c r="PEL378">
        <v>1</v>
      </c>
      <c r="PEM378" t="s">
        <v>531</v>
      </c>
      <c r="PEN378" t="str">
        <f>"628669010033"</f>
        <v>628669010033</v>
      </c>
      <c r="PEO378" t="str">
        <f>"0419671"</f>
        <v>0419671</v>
      </c>
      <c r="PEP378" t="s">
        <v>199</v>
      </c>
      <c r="PEQ378" t="s">
        <v>25</v>
      </c>
      <c r="PER378">
        <v>24</v>
      </c>
      <c r="PES378">
        <v>0.05</v>
      </c>
      <c r="PET378">
        <v>1</v>
      </c>
      <c r="PEU378" t="s">
        <v>531</v>
      </c>
      <c r="PEV378" t="str">
        <f>"628669010033"</f>
        <v>628669010033</v>
      </c>
      <c r="PEW378" t="str">
        <f>"0419671"</f>
        <v>0419671</v>
      </c>
      <c r="PEX378" t="s">
        <v>199</v>
      </c>
      <c r="PEY378" t="s">
        <v>25</v>
      </c>
      <c r="PEZ378">
        <v>24</v>
      </c>
      <c r="PFA378">
        <v>0.05</v>
      </c>
      <c r="PFB378">
        <v>1</v>
      </c>
      <c r="PFC378" t="s">
        <v>531</v>
      </c>
      <c r="PFD378" t="str">
        <f>"628669010033"</f>
        <v>628669010033</v>
      </c>
      <c r="PFE378" t="str">
        <f>"0419671"</f>
        <v>0419671</v>
      </c>
      <c r="PFF378" t="s">
        <v>199</v>
      </c>
      <c r="PFG378" t="s">
        <v>25</v>
      </c>
      <c r="PFH378">
        <v>24</v>
      </c>
      <c r="PFI378">
        <v>0.05</v>
      </c>
      <c r="PFJ378">
        <v>1</v>
      </c>
      <c r="PFK378" t="s">
        <v>531</v>
      </c>
      <c r="PFL378" t="str">
        <f>"628669010033"</f>
        <v>628669010033</v>
      </c>
      <c r="PFM378" t="str">
        <f>"0419671"</f>
        <v>0419671</v>
      </c>
      <c r="PFN378" t="s">
        <v>199</v>
      </c>
      <c r="PFO378" t="s">
        <v>25</v>
      </c>
      <c r="PFP378">
        <v>24</v>
      </c>
      <c r="PFQ378">
        <v>0.05</v>
      </c>
      <c r="PFR378">
        <v>1</v>
      </c>
      <c r="PFS378" t="s">
        <v>531</v>
      </c>
      <c r="PFT378" t="str">
        <f>"628669010033"</f>
        <v>628669010033</v>
      </c>
      <c r="PFU378" t="str">
        <f>"0419671"</f>
        <v>0419671</v>
      </c>
      <c r="PFV378" t="s">
        <v>199</v>
      </c>
      <c r="PFW378" t="s">
        <v>25</v>
      </c>
      <c r="PFX378">
        <v>24</v>
      </c>
      <c r="PFY378">
        <v>0.05</v>
      </c>
      <c r="PFZ378">
        <v>1</v>
      </c>
      <c r="PGA378" t="s">
        <v>531</v>
      </c>
      <c r="PGB378" t="str">
        <f>"628669010033"</f>
        <v>628669010033</v>
      </c>
      <c r="PGC378" t="str">
        <f>"0419671"</f>
        <v>0419671</v>
      </c>
      <c r="PGD378" t="s">
        <v>199</v>
      </c>
      <c r="PGE378" t="s">
        <v>25</v>
      </c>
      <c r="PGF378">
        <v>24</v>
      </c>
      <c r="PGG378">
        <v>0.05</v>
      </c>
      <c r="PGH378">
        <v>1</v>
      </c>
      <c r="PGI378" t="s">
        <v>531</v>
      </c>
      <c r="PGJ378" t="str">
        <f>"628669010033"</f>
        <v>628669010033</v>
      </c>
      <c r="PGK378" t="str">
        <f>"0419671"</f>
        <v>0419671</v>
      </c>
      <c r="PGL378" t="s">
        <v>199</v>
      </c>
      <c r="PGM378" t="s">
        <v>25</v>
      </c>
      <c r="PGN378">
        <v>24</v>
      </c>
      <c r="PGO378">
        <v>0.05</v>
      </c>
      <c r="PGP378">
        <v>1</v>
      </c>
      <c r="PGQ378" t="s">
        <v>531</v>
      </c>
      <c r="PGR378" t="str">
        <f>"628669010033"</f>
        <v>628669010033</v>
      </c>
      <c r="PGS378" t="str">
        <f>"0419671"</f>
        <v>0419671</v>
      </c>
      <c r="PGT378" t="s">
        <v>199</v>
      </c>
      <c r="PGU378" t="s">
        <v>25</v>
      </c>
      <c r="PGV378">
        <v>24</v>
      </c>
      <c r="PGW378">
        <v>0.05</v>
      </c>
      <c r="PGX378">
        <v>1</v>
      </c>
      <c r="PGY378" t="s">
        <v>531</v>
      </c>
      <c r="PGZ378" t="str">
        <f>"628669010033"</f>
        <v>628669010033</v>
      </c>
      <c r="PHA378" t="str">
        <f>"0419671"</f>
        <v>0419671</v>
      </c>
      <c r="PHB378" t="s">
        <v>199</v>
      </c>
      <c r="PHC378" t="s">
        <v>25</v>
      </c>
      <c r="PHD378">
        <v>24</v>
      </c>
      <c r="PHE378">
        <v>0.05</v>
      </c>
      <c r="PHF378">
        <v>1</v>
      </c>
      <c r="PHG378" t="s">
        <v>531</v>
      </c>
      <c r="PHH378" t="str">
        <f>"628669010033"</f>
        <v>628669010033</v>
      </c>
      <c r="PHI378" t="str">
        <f>"0419671"</f>
        <v>0419671</v>
      </c>
      <c r="PHJ378" t="s">
        <v>199</v>
      </c>
      <c r="PHK378" t="s">
        <v>25</v>
      </c>
      <c r="PHL378">
        <v>24</v>
      </c>
      <c r="PHM378">
        <v>0.05</v>
      </c>
      <c r="PHN378">
        <v>1</v>
      </c>
      <c r="PHO378" t="s">
        <v>531</v>
      </c>
      <c r="PHP378" t="str">
        <f>"628669010033"</f>
        <v>628669010033</v>
      </c>
      <c r="PHQ378" t="str">
        <f>"0419671"</f>
        <v>0419671</v>
      </c>
      <c r="PHR378" t="s">
        <v>199</v>
      </c>
      <c r="PHS378" t="s">
        <v>25</v>
      </c>
      <c r="PHT378">
        <v>24</v>
      </c>
      <c r="PHU378">
        <v>0.05</v>
      </c>
      <c r="PHV378">
        <v>1</v>
      </c>
      <c r="PHW378" t="s">
        <v>531</v>
      </c>
      <c r="PHX378" t="str">
        <f>"628669010033"</f>
        <v>628669010033</v>
      </c>
      <c r="PHY378" t="str">
        <f>"0419671"</f>
        <v>0419671</v>
      </c>
      <c r="PHZ378" t="s">
        <v>199</v>
      </c>
      <c r="PIA378" t="s">
        <v>25</v>
      </c>
      <c r="PIB378">
        <v>24</v>
      </c>
      <c r="PIC378">
        <v>0.05</v>
      </c>
      <c r="PID378">
        <v>1</v>
      </c>
      <c r="PIE378" t="s">
        <v>531</v>
      </c>
      <c r="PIF378" t="str">
        <f>"628669010033"</f>
        <v>628669010033</v>
      </c>
      <c r="PIG378" t="str">
        <f>"0419671"</f>
        <v>0419671</v>
      </c>
      <c r="PIH378" t="s">
        <v>199</v>
      </c>
      <c r="PII378" t="s">
        <v>25</v>
      </c>
      <c r="PIJ378">
        <v>24</v>
      </c>
      <c r="PIK378">
        <v>0.05</v>
      </c>
      <c r="PIL378">
        <v>1</v>
      </c>
      <c r="PIM378" t="s">
        <v>531</v>
      </c>
      <c r="PIN378" t="str">
        <f>"628669010033"</f>
        <v>628669010033</v>
      </c>
      <c r="PIO378" t="str">
        <f>"0419671"</f>
        <v>0419671</v>
      </c>
      <c r="PIP378" t="s">
        <v>199</v>
      </c>
      <c r="PIQ378" t="s">
        <v>25</v>
      </c>
      <c r="PIR378">
        <v>24</v>
      </c>
      <c r="PIS378">
        <v>0.05</v>
      </c>
      <c r="PIT378">
        <v>1</v>
      </c>
      <c r="PIU378" t="s">
        <v>531</v>
      </c>
      <c r="PIV378" t="str">
        <f>"628669010033"</f>
        <v>628669010033</v>
      </c>
      <c r="PIW378" t="str">
        <f>"0419671"</f>
        <v>0419671</v>
      </c>
      <c r="PIX378" t="s">
        <v>199</v>
      </c>
      <c r="PIY378" t="s">
        <v>25</v>
      </c>
      <c r="PIZ378">
        <v>24</v>
      </c>
      <c r="PJA378">
        <v>0.05</v>
      </c>
      <c r="PJB378">
        <v>1</v>
      </c>
      <c r="PJC378" t="s">
        <v>531</v>
      </c>
      <c r="PJD378" t="str">
        <f>"628669010033"</f>
        <v>628669010033</v>
      </c>
      <c r="PJE378" t="str">
        <f>"0419671"</f>
        <v>0419671</v>
      </c>
      <c r="PJF378" t="s">
        <v>199</v>
      </c>
      <c r="PJG378" t="s">
        <v>25</v>
      </c>
      <c r="PJH378">
        <v>24</v>
      </c>
      <c r="PJI378">
        <v>0.05</v>
      </c>
      <c r="PJJ378">
        <v>1</v>
      </c>
      <c r="PJK378" t="s">
        <v>531</v>
      </c>
      <c r="PJL378" t="str">
        <f>"628669010033"</f>
        <v>628669010033</v>
      </c>
      <c r="PJM378" t="str">
        <f>"0419671"</f>
        <v>0419671</v>
      </c>
      <c r="PJN378" t="s">
        <v>199</v>
      </c>
      <c r="PJO378" t="s">
        <v>25</v>
      </c>
      <c r="PJP378">
        <v>24</v>
      </c>
      <c r="PJQ378">
        <v>0.05</v>
      </c>
      <c r="PJR378">
        <v>1</v>
      </c>
      <c r="PJS378" t="s">
        <v>531</v>
      </c>
      <c r="PJT378" t="str">
        <f>"628669010033"</f>
        <v>628669010033</v>
      </c>
      <c r="PJU378" t="str">
        <f>"0419671"</f>
        <v>0419671</v>
      </c>
      <c r="PJV378" t="s">
        <v>199</v>
      </c>
      <c r="PJW378" t="s">
        <v>25</v>
      </c>
      <c r="PJX378">
        <v>24</v>
      </c>
      <c r="PJY378">
        <v>0.05</v>
      </c>
      <c r="PJZ378">
        <v>1</v>
      </c>
      <c r="PKA378" t="s">
        <v>531</v>
      </c>
      <c r="PKB378" t="str">
        <f>"628669010033"</f>
        <v>628669010033</v>
      </c>
      <c r="PKC378" t="str">
        <f>"0419671"</f>
        <v>0419671</v>
      </c>
      <c r="PKD378" t="s">
        <v>199</v>
      </c>
      <c r="PKE378" t="s">
        <v>25</v>
      </c>
      <c r="PKF378">
        <v>24</v>
      </c>
      <c r="PKG378">
        <v>0.05</v>
      </c>
      <c r="PKH378">
        <v>1</v>
      </c>
      <c r="PKI378" t="s">
        <v>531</v>
      </c>
      <c r="PKJ378" t="str">
        <f>"628669010033"</f>
        <v>628669010033</v>
      </c>
      <c r="PKK378" t="str">
        <f>"0419671"</f>
        <v>0419671</v>
      </c>
      <c r="PKL378" t="s">
        <v>199</v>
      </c>
      <c r="PKM378" t="s">
        <v>25</v>
      </c>
      <c r="PKN378">
        <v>24</v>
      </c>
      <c r="PKO378">
        <v>0.05</v>
      </c>
      <c r="PKP378">
        <v>1</v>
      </c>
      <c r="PKQ378" t="s">
        <v>531</v>
      </c>
      <c r="PKR378" t="str">
        <f>"628669010033"</f>
        <v>628669010033</v>
      </c>
      <c r="PKS378" t="str">
        <f>"0419671"</f>
        <v>0419671</v>
      </c>
      <c r="PKT378" t="s">
        <v>199</v>
      </c>
      <c r="PKU378" t="s">
        <v>25</v>
      </c>
      <c r="PKV378">
        <v>24</v>
      </c>
      <c r="PKW378">
        <v>0.05</v>
      </c>
      <c r="PKX378">
        <v>1</v>
      </c>
      <c r="PKY378" t="s">
        <v>531</v>
      </c>
      <c r="PKZ378" t="str">
        <f>"628669010033"</f>
        <v>628669010033</v>
      </c>
      <c r="PLA378" t="str">
        <f>"0419671"</f>
        <v>0419671</v>
      </c>
      <c r="PLB378" t="s">
        <v>199</v>
      </c>
      <c r="PLC378" t="s">
        <v>25</v>
      </c>
      <c r="PLD378">
        <v>24</v>
      </c>
      <c r="PLE378">
        <v>0.05</v>
      </c>
      <c r="PLF378">
        <v>1</v>
      </c>
      <c r="PLG378" t="s">
        <v>531</v>
      </c>
      <c r="PLH378" t="str">
        <f>"628669010033"</f>
        <v>628669010033</v>
      </c>
      <c r="PLI378" t="str">
        <f>"0419671"</f>
        <v>0419671</v>
      </c>
      <c r="PLJ378" t="s">
        <v>199</v>
      </c>
      <c r="PLK378" t="s">
        <v>25</v>
      </c>
      <c r="PLL378">
        <v>24</v>
      </c>
      <c r="PLM378">
        <v>0.05</v>
      </c>
      <c r="PLN378">
        <v>1</v>
      </c>
      <c r="PLO378" t="s">
        <v>531</v>
      </c>
      <c r="PLP378" t="str">
        <f>"628669010033"</f>
        <v>628669010033</v>
      </c>
      <c r="PLQ378" t="str">
        <f>"0419671"</f>
        <v>0419671</v>
      </c>
      <c r="PLR378" t="s">
        <v>199</v>
      </c>
      <c r="PLS378" t="s">
        <v>25</v>
      </c>
      <c r="PLT378">
        <v>24</v>
      </c>
      <c r="PLU378">
        <v>0.05</v>
      </c>
      <c r="PLV378">
        <v>1</v>
      </c>
      <c r="PLW378" t="s">
        <v>531</v>
      </c>
      <c r="PLX378" t="str">
        <f>"628669010033"</f>
        <v>628669010033</v>
      </c>
      <c r="PLY378" t="str">
        <f>"0419671"</f>
        <v>0419671</v>
      </c>
      <c r="PLZ378" t="s">
        <v>199</v>
      </c>
      <c r="PMA378" t="s">
        <v>25</v>
      </c>
      <c r="PMB378">
        <v>24</v>
      </c>
      <c r="PMC378">
        <v>0.05</v>
      </c>
      <c r="PMD378">
        <v>1</v>
      </c>
      <c r="PME378" t="s">
        <v>531</v>
      </c>
      <c r="PMF378" t="str">
        <f>"628669010033"</f>
        <v>628669010033</v>
      </c>
      <c r="PMG378" t="str">
        <f>"0419671"</f>
        <v>0419671</v>
      </c>
      <c r="PMH378" t="s">
        <v>199</v>
      </c>
      <c r="PMI378" t="s">
        <v>25</v>
      </c>
      <c r="PMJ378">
        <v>24</v>
      </c>
      <c r="PMK378">
        <v>0.05</v>
      </c>
      <c r="PML378">
        <v>1</v>
      </c>
      <c r="PMM378" t="s">
        <v>531</v>
      </c>
      <c r="PMN378" t="str">
        <f>"628669010033"</f>
        <v>628669010033</v>
      </c>
      <c r="PMO378" t="str">
        <f>"0419671"</f>
        <v>0419671</v>
      </c>
      <c r="PMP378" t="s">
        <v>199</v>
      </c>
      <c r="PMQ378" t="s">
        <v>25</v>
      </c>
      <c r="PMR378">
        <v>24</v>
      </c>
      <c r="PMS378">
        <v>0.05</v>
      </c>
      <c r="PMT378">
        <v>1</v>
      </c>
      <c r="PMU378" t="s">
        <v>531</v>
      </c>
      <c r="PMV378" t="str">
        <f>"628669010033"</f>
        <v>628669010033</v>
      </c>
      <c r="PMW378" t="str">
        <f>"0419671"</f>
        <v>0419671</v>
      </c>
      <c r="PMX378" t="s">
        <v>199</v>
      </c>
      <c r="PMY378" t="s">
        <v>25</v>
      </c>
      <c r="PMZ378">
        <v>24</v>
      </c>
      <c r="PNA378">
        <v>0.05</v>
      </c>
      <c r="PNB378">
        <v>1</v>
      </c>
      <c r="PNC378" t="s">
        <v>531</v>
      </c>
      <c r="PND378" t="str">
        <f>"628669010033"</f>
        <v>628669010033</v>
      </c>
      <c r="PNE378" t="str">
        <f>"0419671"</f>
        <v>0419671</v>
      </c>
      <c r="PNF378" t="s">
        <v>199</v>
      </c>
      <c r="PNG378" t="s">
        <v>25</v>
      </c>
      <c r="PNH378">
        <v>24</v>
      </c>
      <c r="PNI378">
        <v>0.05</v>
      </c>
      <c r="PNJ378">
        <v>1</v>
      </c>
      <c r="PNK378" t="s">
        <v>531</v>
      </c>
      <c r="PNL378" t="str">
        <f>"628669010033"</f>
        <v>628669010033</v>
      </c>
      <c r="PNM378" t="str">
        <f>"0419671"</f>
        <v>0419671</v>
      </c>
      <c r="PNN378" t="s">
        <v>199</v>
      </c>
      <c r="PNO378" t="s">
        <v>25</v>
      </c>
      <c r="PNP378">
        <v>24</v>
      </c>
      <c r="PNQ378">
        <v>0.05</v>
      </c>
      <c r="PNR378">
        <v>1</v>
      </c>
      <c r="PNS378" t="s">
        <v>531</v>
      </c>
      <c r="PNT378" t="str">
        <f>"628669010033"</f>
        <v>628669010033</v>
      </c>
      <c r="PNU378" t="str">
        <f>"0419671"</f>
        <v>0419671</v>
      </c>
      <c r="PNV378" t="s">
        <v>199</v>
      </c>
      <c r="PNW378" t="s">
        <v>25</v>
      </c>
      <c r="PNX378">
        <v>24</v>
      </c>
      <c r="PNY378">
        <v>0.05</v>
      </c>
      <c r="PNZ378">
        <v>1</v>
      </c>
      <c r="POA378" t="s">
        <v>531</v>
      </c>
      <c r="POB378" t="str">
        <f>"628669010033"</f>
        <v>628669010033</v>
      </c>
      <c r="POC378" t="str">
        <f>"0419671"</f>
        <v>0419671</v>
      </c>
      <c r="POD378" t="s">
        <v>199</v>
      </c>
      <c r="POE378" t="s">
        <v>25</v>
      </c>
      <c r="POF378">
        <v>24</v>
      </c>
      <c r="POG378">
        <v>0.05</v>
      </c>
      <c r="POH378">
        <v>1</v>
      </c>
      <c r="POI378" t="s">
        <v>531</v>
      </c>
      <c r="POJ378" t="str">
        <f>"628669010033"</f>
        <v>628669010033</v>
      </c>
      <c r="POK378" t="str">
        <f>"0419671"</f>
        <v>0419671</v>
      </c>
      <c r="POL378" t="s">
        <v>199</v>
      </c>
      <c r="POM378" t="s">
        <v>25</v>
      </c>
      <c r="PON378">
        <v>24</v>
      </c>
      <c r="POO378">
        <v>0.05</v>
      </c>
      <c r="POP378">
        <v>1</v>
      </c>
      <c r="POQ378" t="s">
        <v>531</v>
      </c>
      <c r="POR378" t="str">
        <f>"628669010033"</f>
        <v>628669010033</v>
      </c>
      <c r="POS378" t="str">
        <f>"0419671"</f>
        <v>0419671</v>
      </c>
      <c r="POT378" t="s">
        <v>199</v>
      </c>
      <c r="POU378" t="s">
        <v>25</v>
      </c>
      <c r="POV378">
        <v>24</v>
      </c>
      <c r="POW378">
        <v>0.05</v>
      </c>
      <c r="POX378">
        <v>1</v>
      </c>
      <c r="POY378" t="s">
        <v>531</v>
      </c>
      <c r="POZ378" t="str">
        <f>"628669010033"</f>
        <v>628669010033</v>
      </c>
      <c r="PPA378" t="str">
        <f>"0419671"</f>
        <v>0419671</v>
      </c>
      <c r="PPB378" t="s">
        <v>199</v>
      </c>
      <c r="PPC378" t="s">
        <v>25</v>
      </c>
      <c r="PPD378">
        <v>24</v>
      </c>
      <c r="PPE378">
        <v>0.05</v>
      </c>
      <c r="PPF378">
        <v>1</v>
      </c>
      <c r="PPG378" t="s">
        <v>531</v>
      </c>
      <c r="PPH378" t="str">
        <f>"628669010033"</f>
        <v>628669010033</v>
      </c>
      <c r="PPI378" t="str">
        <f>"0419671"</f>
        <v>0419671</v>
      </c>
      <c r="PPJ378" t="s">
        <v>199</v>
      </c>
      <c r="PPK378" t="s">
        <v>25</v>
      </c>
      <c r="PPL378">
        <v>24</v>
      </c>
      <c r="PPM378">
        <v>0.05</v>
      </c>
      <c r="PPN378">
        <v>1</v>
      </c>
      <c r="PPO378" t="s">
        <v>531</v>
      </c>
      <c r="PPP378" t="str">
        <f>"628669010033"</f>
        <v>628669010033</v>
      </c>
      <c r="PPQ378" t="str">
        <f>"0419671"</f>
        <v>0419671</v>
      </c>
      <c r="PPR378" t="s">
        <v>199</v>
      </c>
      <c r="PPS378" t="s">
        <v>25</v>
      </c>
      <c r="PPT378">
        <v>24</v>
      </c>
      <c r="PPU378">
        <v>0.05</v>
      </c>
      <c r="PPV378">
        <v>1</v>
      </c>
      <c r="PPW378" t="s">
        <v>531</v>
      </c>
      <c r="PPX378" t="str">
        <f>"628669010033"</f>
        <v>628669010033</v>
      </c>
      <c r="PPY378" t="str">
        <f>"0419671"</f>
        <v>0419671</v>
      </c>
      <c r="PPZ378" t="s">
        <v>199</v>
      </c>
      <c r="PQA378" t="s">
        <v>25</v>
      </c>
      <c r="PQB378">
        <v>24</v>
      </c>
      <c r="PQC378">
        <v>0.05</v>
      </c>
      <c r="PQD378">
        <v>1</v>
      </c>
      <c r="PQE378" t="s">
        <v>531</v>
      </c>
      <c r="PQF378" t="str">
        <f>"628669010033"</f>
        <v>628669010033</v>
      </c>
      <c r="PQG378" t="str">
        <f>"0419671"</f>
        <v>0419671</v>
      </c>
      <c r="PQH378" t="s">
        <v>199</v>
      </c>
      <c r="PQI378" t="s">
        <v>25</v>
      </c>
      <c r="PQJ378">
        <v>24</v>
      </c>
      <c r="PQK378">
        <v>0.05</v>
      </c>
      <c r="PQL378">
        <v>1</v>
      </c>
      <c r="PQM378" t="s">
        <v>531</v>
      </c>
      <c r="PQN378" t="str">
        <f>"628669010033"</f>
        <v>628669010033</v>
      </c>
      <c r="PQO378" t="str">
        <f>"0419671"</f>
        <v>0419671</v>
      </c>
      <c r="PQP378" t="s">
        <v>199</v>
      </c>
      <c r="PQQ378" t="s">
        <v>25</v>
      </c>
      <c r="PQR378">
        <v>24</v>
      </c>
      <c r="PQS378">
        <v>0.05</v>
      </c>
      <c r="PQT378">
        <v>1</v>
      </c>
      <c r="PQU378" t="s">
        <v>531</v>
      </c>
      <c r="PQV378" t="str">
        <f>"628669010033"</f>
        <v>628669010033</v>
      </c>
      <c r="PQW378" t="str">
        <f>"0419671"</f>
        <v>0419671</v>
      </c>
      <c r="PQX378" t="s">
        <v>199</v>
      </c>
      <c r="PQY378" t="s">
        <v>25</v>
      </c>
      <c r="PQZ378">
        <v>24</v>
      </c>
      <c r="PRA378">
        <v>0.05</v>
      </c>
      <c r="PRB378">
        <v>1</v>
      </c>
      <c r="PRC378" t="s">
        <v>531</v>
      </c>
      <c r="PRD378" t="str">
        <f>"628669010033"</f>
        <v>628669010033</v>
      </c>
      <c r="PRE378" t="str">
        <f>"0419671"</f>
        <v>0419671</v>
      </c>
      <c r="PRF378" t="s">
        <v>199</v>
      </c>
      <c r="PRG378" t="s">
        <v>25</v>
      </c>
      <c r="PRH378">
        <v>24</v>
      </c>
      <c r="PRI378">
        <v>0.05</v>
      </c>
      <c r="PRJ378">
        <v>1</v>
      </c>
      <c r="PRK378" t="s">
        <v>531</v>
      </c>
      <c r="PRL378" t="str">
        <f>"628669010033"</f>
        <v>628669010033</v>
      </c>
      <c r="PRM378" t="str">
        <f>"0419671"</f>
        <v>0419671</v>
      </c>
      <c r="PRN378" t="s">
        <v>199</v>
      </c>
      <c r="PRO378" t="s">
        <v>25</v>
      </c>
      <c r="PRP378">
        <v>24</v>
      </c>
      <c r="PRQ378">
        <v>0.05</v>
      </c>
      <c r="PRR378">
        <v>1</v>
      </c>
      <c r="PRS378" t="s">
        <v>531</v>
      </c>
      <c r="PRT378" t="str">
        <f>"628669010033"</f>
        <v>628669010033</v>
      </c>
      <c r="PRU378" t="str">
        <f>"0419671"</f>
        <v>0419671</v>
      </c>
      <c r="PRV378" t="s">
        <v>199</v>
      </c>
      <c r="PRW378" t="s">
        <v>25</v>
      </c>
      <c r="PRX378">
        <v>24</v>
      </c>
      <c r="PRY378">
        <v>0.05</v>
      </c>
      <c r="PRZ378">
        <v>1</v>
      </c>
      <c r="PSA378" t="s">
        <v>531</v>
      </c>
      <c r="PSB378" t="str">
        <f>"628669010033"</f>
        <v>628669010033</v>
      </c>
      <c r="PSC378" t="str">
        <f>"0419671"</f>
        <v>0419671</v>
      </c>
      <c r="PSD378" t="s">
        <v>199</v>
      </c>
      <c r="PSE378" t="s">
        <v>25</v>
      </c>
      <c r="PSF378">
        <v>24</v>
      </c>
      <c r="PSG378">
        <v>0.05</v>
      </c>
      <c r="PSH378">
        <v>1</v>
      </c>
      <c r="PSI378" t="s">
        <v>531</v>
      </c>
      <c r="PSJ378" t="str">
        <f>"628669010033"</f>
        <v>628669010033</v>
      </c>
      <c r="PSK378" t="str">
        <f>"0419671"</f>
        <v>0419671</v>
      </c>
      <c r="PSL378" t="s">
        <v>199</v>
      </c>
      <c r="PSM378" t="s">
        <v>25</v>
      </c>
      <c r="PSN378">
        <v>24</v>
      </c>
      <c r="PSO378">
        <v>0.05</v>
      </c>
      <c r="PSP378">
        <v>1</v>
      </c>
      <c r="PSQ378" t="s">
        <v>531</v>
      </c>
      <c r="PSR378" t="str">
        <f>"628669010033"</f>
        <v>628669010033</v>
      </c>
      <c r="PSS378" t="str">
        <f>"0419671"</f>
        <v>0419671</v>
      </c>
      <c r="PST378" t="s">
        <v>199</v>
      </c>
      <c r="PSU378" t="s">
        <v>25</v>
      </c>
      <c r="PSV378">
        <v>24</v>
      </c>
      <c r="PSW378">
        <v>0.05</v>
      </c>
      <c r="PSX378">
        <v>1</v>
      </c>
      <c r="PSY378" t="s">
        <v>531</v>
      </c>
      <c r="PSZ378" t="str">
        <f>"628669010033"</f>
        <v>628669010033</v>
      </c>
      <c r="PTA378" t="str">
        <f>"0419671"</f>
        <v>0419671</v>
      </c>
      <c r="PTB378" t="s">
        <v>199</v>
      </c>
      <c r="PTC378" t="s">
        <v>25</v>
      </c>
      <c r="PTD378">
        <v>24</v>
      </c>
      <c r="PTE378">
        <v>0.05</v>
      </c>
      <c r="PTF378">
        <v>1</v>
      </c>
      <c r="PTG378" t="s">
        <v>531</v>
      </c>
      <c r="PTH378" t="str">
        <f>"628669010033"</f>
        <v>628669010033</v>
      </c>
      <c r="PTI378" t="str">
        <f>"0419671"</f>
        <v>0419671</v>
      </c>
      <c r="PTJ378" t="s">
        <v>199</v>
      </c>
      <c r="PTK378" t="s">
        <v>25</v>
      </c>
      <c r="PTL378">
        <v>24</v>
      </c>
      <c r="PTM378">
        <v>0.05</v>
      </c>
      <c r="PTN378">
        <v>1</v>
      </c>
      <c r="PTO378" t="s">
        <v>531</v>
      </c>
      <c r="PTP378" t="str">
        <f>"628669010033"</f>
        <v>628669010033</v>
      </c>
      <c r="PTQ378" t="str">
        <f>"0419671"</f>
        <v>0419671</v>
      </c>
      <c r="PTR378" t="s">
        <v>199</v>
      </c>
      <c r="PTS378" t="s">
        <v>25</v>
      </c>
      <c r="PTT378">
        <v>24</v>
      </c>
      <c r="PTU378">
        <v>0.05</v>
      </c>
      <c r="PTV378">
        <v>1</v>
      </c>
      <c r="PTW378" t="s">
        <v>531</v>
      </c>
      <c r="PTX378" t="str">
        <f>"628669010033"</f>
        <v>628669010033</v>
      </c>
      <c r="PTY378" t="str">
        <f>"0419671"</f>
        <v>0419671</v>
      </c>
      <c r="PTZ378" t="s">
        <v>199</v>
      </c>
      <c r="PUA378" t="s">
        <v>25</v>
      </c>
      <c r="PUB378">
        <v>24</v>
      </c>
      <c r="PUC378">
        <v>0.05</v>
      </c>
      <c r="PUD378">
        <v>1</v>
      </c>
      <c r="PUE378" t="s">
        <v>531</v>
      </c>
      <c r="PUF378" t="str">
        <f>"628669010033"</f>
        <v>628669010033</v>
      </c>
      <c r="PUG378" t="str">
        <f>"0419671"</f>
        <v>0419671</v>
      </c>
      <c r="PUH378" t="s">
        <v>199</v>
      </c>
      <c r="PUI378" t="s">
        <v>25</v>
      </c>
      <c r="PUJ378">
        <v>24</v>
      </c>
      <c r="PUK378">
        <v>0.05</v>
      </c>
      <c r="PUL378">
        <v>1</v>
      </c>
      <c r="PUM378" t="s">
        <v>531</v>
      </c>
      <c r="PUN378" t="str">
        <f>"628669010033"</f>
        <v>628669010033</v>
      </c>
      <c r="PUO378" t="str">
        <f>"0419671"</f>
        <v>0419671</v>
      </c>
      <c r="PUP378" t="s">
        <v>199</v>
      </c>
      <c r="PUQ378" t="s">
        <v>25</v>
      </c>
      <c r="PUR378">
        <v>24</v>
      </c>
      <c r="PUS378">
        <v>0.05</v>
      </c>
      <c r="PUT378">
        <v>1</v>
      </c>
      <c r="PUU378" t="s">
        <v>531</v>
      </c>
      <c r="PUV378" t="str">
        <f>"628669010033"</f>
        <v>628669010033</v>
      </c>
      <c r="PUW378" t="str">
        <f>"0419671"</f>
        <v>0419671</v>
      </c>
      <c r="PUX378" t="s">
        <v>199</v>
      </c>
      <c r="PUY378" t="s">
        <v>25</v>
      </c>
      <c r="PUZ378">
        <v>24</v>
      </c>
      <c r="PVA378">
        <v>0.05</v>
      </c>
      <c r="PVB378">
        <v>1</v>
      </c>
      <c r="PVC378" t="s">
        <v>531</v>
      </c>
      <c r="PVD378" t="str">
        <f>"628669010033"</f>
        <v>628669010033</v>
      </c>
      <c r="PVE378" t="str">
        <f>"0419671"</f>
        <v>0419671</v>
      </c>
      <c r="PVF378" t="s">
        <v>199</v>
      </c>
      <c r="PVG378" t="s">
        <v>25</v>
      </c>
      <c r="PVH378">
        <v>24</v>
      </c>
      <c r="PVI378">
        <v>0.05</v>
      </c>
      <c r="PVJ378">
        <v>1</v>
      </c>
      <c r="PVK378" t="s">
        <v>531</v>
      </c>
      <c r="PVL378" t="str">
        <f>"628669010033"</f>
        <v>628669010033</v>
      </c>
      <c r="PVM378" t="str">
        <f>"0419671"</f>
        <v>0419671</v>
      </c>
      <c r="PVN378" t="s">
        <v>199</v>
      </c>
      <c r="PVO378" t="s">
        <v>25</v>
      </c>
      <c r="PVP378">
        <v>24</v>
      </c>
      <c r="PVQ378">
        <v>0.05</v>
      </c>
      <c r="PVR378">
        <v>1</v>
      </c>
      <c r="PVS378" t="s">
        <v>531</v>
      </c>
      <c r="PVT378" t="str">
        <f>"628669010033"</f>
        <v>628669010033</v>
      </c>
      <c r="PVU378" t="str">
        <f>"0419671"</f>
        <v>0419671</v>
      </c>
      <c r="PVV378" t="s">
        <v>199</v>
      </c>
      <c r="PVW378" t="s">
        <v>25</v>
      </c>
      <c r="PVX378">
        <v>24</v>
      </c>
      <c r="PVY378">
        <v>0.05</v>
      </c>
      <c r="PVZ378">
        <v>1</v>
      </c>
      <c r="PWA378" t="s">
        <v>531</v>
      </c>
      <c r="PWB378" t="str">
        <f>"628669010033"</f>
        <v>628669010033</v>
      </c>
      <c r="PWC378" t="str">
        <f>"0419671"</f>
        <v>0419671</v>
      </c>
      <c r="PWD378" t="s">
        <v>199</v>
      </c>
      <c r="PWE378" t="s">
        <v>25</v>
      </c>
      <c r="PWF378">
        <v>24</v>
      </c>
      <c r="PWG378">
        <v>0.05</v>
      </c>
      <c r="PWH378">
        <v>1</v>
      </c>
      <c r="PWI378" t="s">
        <v>531</v>
      </c>
      <c r="PWJ378" t="str">
        <f>"628669010033"</f>
        <v>628669010033</v>
      </c>
      <c r="PWK378" t="str">
        <f>"0419671"</f>
        <v>0419671</v>
      </c>
      <c r="PWL378" t="s">
        <v>199</v>
      </c>
      <c r="PWM378" t="s">
        <v>25</v>
      </c>
      <c r="PWN378">
        <v>24</v>
      </c>
      <c r="PWO378">
        <v>0.05</v>
      </c>
      <c r="PWP378">
        <v>1</v>
      </c>
      <c r="PWQ378" t="s">
        <v>531</v>
      </c>
      <c r="PWR378" t="str">
        <f>"628669010033"</f>
        <v>628669010033</v>
      </c>
      <c r="PWS378" t="str">
        <f>"0419671"</f>
        <v>0419671</v>
      </c>
      <c r="PWT378" t="s">
        <v>199</v>
      </c>
      <c r="PWU378" t="s">
        <v>25</v>
      </c>
      <c r="PWV378">
        <v>24</v>
      </c>
      <c r="PWW378">
        <v>0.05</v>
      </c>
      <c r="PWX378">
        <v>1</v>
      </c>
      <c r="PWY378" t="s">
        <v>531</v>
      </c>
      <c r="PWZ378" t="str">
        <f>"628669010033"</f>
        <v>628669010033</v>
      </c>
      <c r="PXA378" t="str">
        <f>"0419671"</f>
        <v>0419671</v>
      </c>
      <c r="PXB378" t="s">
        <v>199</v>
      </c>
      <c r="PXC378" t="s">
        <v>25</v>
      </c>
      <c r="PXD378">
        <v>24</v>
      </c>
      <c r="PXE378">
        <v>0.05</v>
      </c>
      <c r="PXF378">
        <v>1</v>
      </c>
      <c r="PXG378" t="s">
        <v>531</v>
      </c>
      <c r="PXH378" t="str">
        <f>"628669010033"</f>
        <v>628669010033</v>
      </c>
      <c r="PXI378" t="str">
        <f>"0419671"</f>
        <v>0419671</v>
      </c>
      <c r="PXJ378" t="s">
        <v>199</v>
      </c>
      <c r="PXK378" t="s">
        <v>25</v>
      </c>
      <c r="PXL378">
        <v>24</v>
      </c>
      <c r="PXM378">
        <v>0.05</v>
      </c>
      <c r="PXN378">
        <v>1</v>
      </c>
      <c r="PXO378" t="s">
        <v>531</v>
      </c>
      <c r="PXP378" t="str">
        <f>"628669010033"</f>
        <v>628669010033</v>
      </c>
      <c r="PXQ378" t="str">
        <f>"0419671"</f>
        <v>0419671</v>
      </c>
      <c r="PXR378" t="s">
        <v>199</v>
      </c>
      <c r="PXS378" t="s">
        <v>25</v>
      </c>
      <c r="PXT378">
        <v>24</v>
      </c>
      <c r="PXU378">
        <v>0.05</v>
      </c>
      <c r="PXV378">
        <v>1</v>
      </c>
      <c r="PXW378" t="s">
        <v>531</v>
      </c>
      <c r="PXX378" t="str">
        <f>"628669010033"</f>
        <v>628669010033</v>
      </c>
      <c r="PXY378" t="str">
        <f>"0419671"</f>
        <v>0419671</v>
      </c>
      <c r="PXZ378" t="s">
        <v>199</v>
      </c>
      <c r="PYA378" t="s">
        <v>25</v>
      </c>
      <c r="PYB378">
        <v>24</v>
      </c>
      <c r="PYC378">
        <v>0.05</v>
      </c>
      <c r="PYD378">
        <v>1</v>
      </c>
      <c r="PYE378" t="s">
        <v>531</v>
      </c>
      <c r="PYF378" t="str">
        <f>"628669010033"</f>
        <v>628669010033</v>
      </c>
      <c r="PYG378" t="str">
        <f>"0419671"</f>
        <v>0419671</v>
      </c>
      <c r="PYH378" t="s">
        <v>199</v>
      </c>
      <c r="PYI378" t="s">
        <v>25</v>
      </c>
      <c r="PYJ378">
        <v>24</v>
      </c>
      <c r="PYK378">
        <v>0.05</v>
      </c>
      <c r="PYL378">
        <v>1</v>
      </c>
      <c r="PYM378" t="s">
        <v>531</v>
      </c>
      <c r="PYN378" t="str">
        <f>"628669010033"</f>
        <v>628669010033</v>
      </c>
      <c r="PYO378" t="str">
        <f>"0419671"</f>
        <v>0419671</v>
      </c>
      <c r="PYP378" t="s">
        <v>199</v>
      </c>
      <c r="PYQ378" t="s">
        <v>25</v>
      </c>
      <c r="PYR378">
        <v>24</v>
      </c>
      <c r="PYS378">
        <v>0.05</v>
      </c>
      <c r="PYT378">
        <v>1</v>
      </c>
      <c r="PYU378" t="s">
        <v>531</v>
      </c>
      <c r="PYV378" t="str">
        <f>"628669010033"</f>
        <v>628669010033</v>
      </c>
      <c r="PYW378" t="str">
        <f>"0419671"</f>
        <v>0419671</v>
      </c>
      <c r="PYX378" t="s">
        <v>199</v>
      </c>
      <c r="PYY378" t="s">
        <v>25</v>
      </c>
      <c r="PYZ378">
        <v>24</v>
      </c>
      <c r="PZA378">
        <v>0.05</v>
      </c>
      <c r="PZB378">
        <v>1</v>
      </c>
      <c r="PZC378" t="s">
        <v>531</v>
      </c>
      <c r="PZD378" t="str">
        <f>"628669010033"</f>
        <v>628669010033</v>
      </c>
      <c r="PZE378" t="str">
        <f>"0419671"</f>
        <v>0419671</v>
      </c>
      <c r="PZF378" t="s">
        <v>199</v>
      </c>
      <c r="PZG378" t="s">
        <v>25</v>
      </c>
      <c r="PZH378">
        <v>24</v>
      </c>
      <c r="PZI378">
        <v>0.05</v>
      </c>
      <c r="PZJ378">
        <v>1</v>
      </c>
      <c r="PZK378" t="s">
        <v>531</v>
      </c>
      <c r="PZL378" t="str">
        <f>"628669010033"</f>
        <v>628669010033</v>
      </c>
      <c r="PZM378" t="str">
        <f>"0419671"</f>
        <v>0419671</v>
      </c>
      <c r="PZN378" t="s">
        <v>199</v>
      </c>
      <c r="PZO378" t="s">
        <v>25</v>
      </c>
      <c r="PZP378">
        <v>24</v>
      </c>
      <c r="PZQ378">
        <v>0.05</v>
      </c>
      <c r="PZR378">
        <v>1</v>
      </c>
      <c r="PZS378" t="s">
        <v>531</v>
      </c>
      <c r="PZT378" t="str">
        <f>"628669010033"</f>
        <v>628669010033</v>
      </c>
      <c r="PZU378" t="str">
        <f>"0419671"</f>
        <v>0419671</v>
      </c>
      <c r="PZV378" t="s">
        <v>199</v>
      </c>
      <c r="PZW378" t="s">
        <v>25</v>
      </c>
      <c r="PZX378">
        <v>24</v>
      </c>
      <c r="PZY378">
        <v>0.05</v>
      </c>
      <c r="PZZ378">
        <v>1</v>
      </c>
      <c r="QAA378" t="s">
        <v>531</v>
      </c>
      <c r="QAB378" t="str">
        <f>"628669010033"</f>
        <v>628669010033</v>
      </c>
      <c r="QAC378" t="str">
        <f>"0419671"</f>
        <v>0419671</v>
      </c>
      <c r="QAD378" t="s">
        <v>199</v>
      </c>
      <c r="QAE378" t="s">
        <v>25</v>
      </c>
      <c r="QAF378">
        <v>24</v>
      </c>
      <c r="QAG378">
        <v>0.05</v>
      </c>
      <c r="QAH378">
        <v>1</v>
      </c>
      <c r="QAI378" t="s">
        <v>531</v>
      </c>
      <c r="QAJ378" t="str">
        <f>"628669010033"</f>
        <v>628669010033</v>
      </c>
      <c r="QAK378" t="str">
        <f>"0419671"</f>
        <v>0419671</v>
      </c>
      <c r="QAL378" t="s">
        <v>199</v>
      </c>
      <c r="QAM378" t="s">
        <v>25</v>
      </c>
      <c r="QAN378">
        <v>24</v>
      </c>
      <c r="QAO378">
        <v>0.05</v>
      </c>
      <c r="QAP378">
        <v>1</v>
      </c>
      <c r="QAQ378" t="s">
        <v>531</v>
      </c>
      <c r="QAR378" t="str">
        <f>"628669010033"</f>
        <v>628669010033</v>
      </c>
      <c r="QAS378" t="str">
        <f>"0419671"</f>
        <v>0419671</v>
      </c>
      <c r="QAT378" t="s">
        <v>199</v>
      </c>
      <c r="QAU378" t="s">
        <v>25</v>
      </c>
      <c r="QAV378">
        <v>24</v>
      </c>
      <c r="QAW378">
        <v>0.05</v>
      </c>
      <c r="QAX378">
        <v>1</v>
      </c>
      <c r="QAY378" t="s">
        <v>531</v>
      </c>
      <c r="QAZ378" t="str">
        <f>"628669010033"</f>
        <v>628669010033</v>
      </c>
      <c r="QBA378" t="str">
        <f>"0419671"</f>
        <v>0419671</v>
      </c>
      <c r="QBB378" t="s">
        <v>199</v>
      </c>
      <c r="QBC378" t="s">
        <v>25</v>
      </c>
      <c r="QBD378">
        <v>24</v>
      </c>
      <c r="QBE378">
        <v>0.05</v>
      </c>
      <c r="QBF378">
        <v>1</v>
      </c>
      <c r="QBG378" t="s">
        <v>531</v>
      </c>
      <c r="QBH378" t="str">
        <f>"628669010033"</f>
        <v>628669010033</v>
      </c>
      <c r="QBI378" t="str">
        <f>"0419671"</f>
        <v>0419671</v>
      </c>
      <c r="QBJ378" t="s">
        <v>199</v>
      </c>
      <c r="QBK378" t="s">
        <v>25</v>
      </c>
      <c r="QBL378">
        <v>24</v>
      </c>
      <c r="QBM378">
        <v>0.05</v>
      </c>
      <c r="QBN378">
        <v>1</v>
      </c>
      <c r="QBO378" t="s">
        <v>531</v>
      </c>
      <c r="QBP378" t="str">
        <f>"628669010033"</f>
        <v>628669010033</v>
      </c>
      <c r="QBQ378" t="str">
        <f>"0419671"</f>
        <v>0419671</v>
      </c>
      <c r="QBR378" t="s">
        <v>199</v>
      </c>
      <c r="QBS378" t="s">
        <v>25</v>
      </c>
      <c r="QBT378">
        <v>24</v>
      </c>
      <c r="QBU378">
        <v>0.05</v>
      </c>
      <c r="QBV378">
        <v>1</v>
      </c>
      <c r="QBW378" t="s">
        <v>531</v>
      </c>
      <c r="QBX378" t="str">
        <f>"628669010033"</f>
        <v>628669010033</v>
      </c>
      <c r="QBY378" t="str">
        <f>"0419671"</f>
        <v>0419671</v>
      </c>
      <c r="QBZ378" t="s">
        <v>199</v>
      </c>
      <c r="QCA378" t="s">
        <v>25</v>
      </c>
      <c r="QCB378">
        <v>24</v>
      </c>
      <c r="QCC378">
        <v>0.05</v>
      </c>
      <c r="QCD378">
        <v>1</v>
      </c>
      <c r="QCE378" t="s">
        <v>531</v>
      </c>
      <c r="QCF378" t="str">
        <f>"628669010033"</f>
        <v>628669010033</v>
      </c>
      <c r="QCG378" t="str">
        <f>"0419671"</f>
        <v>0419671</v>
      </c>
      <c r="QCH378" t="s">
        <v>199</v>
      </c>
      <c r="QCI378" t="s">
        <v>25</v>
      </c>
      <c r="QCJ378">
        <v>24</v>
      </c>
      <c r="QCK378">
        <v>0.05</v>
      </c>
      <c r="QCL378">
        <v>1</v>
      </c>
      <c r="QCM378" t="s">
        <v>531</v>
      </c>
      <c r="QCN378" t="str">
        <f>"628669010033"</f>
        <v>628669010033</v>
      </c>
      <c r="QCO378" t="str">
        <f>"0419671"</f>
        <v>0419671</v>
      </c>
      <c r="QCP378" t="s">
        <v>199</v>
      </c>
      <c r="QCQ378" t="s">
        <v>25</v>
      </c>
      <c r="QCR378">
        <v>24</v>
      </c>
      <c r="QCS378">
        <v>0.05</v>
      </c>
      <c r="QCT378">
        <v>1</v>
      </c>
      <c r="QCU378" t="s">
        <v>531</v>
      </c>
      <c r="QCV378" t="str">
        <f>"628669010033"</f>
        <v>628669010033</v>
      </c>
      <c r="QCW378" t="str">
        <f>"0419671"</f>
        <v>0419671</v>
      </c>
      <c r="QCX378" t="s">
        <v>199</v>
      </c>
      <c r="QCY378" t="s">
        <v>25</v>
      </c>
      <c r="QCZ378">
        <v>24</v>
      </c>
      <c r="QDA378">
        <v>0.05</v>
      </c>
      <c r="QDB378">
        <v>1</v>
      </c>
      <c r="QDC378" t="s">
        <v>531</v>
      </c>
      <c r="QDD378" t="str">
        <f>"628669010033"</f>
        <v>628669010033</v>
      </c>
      <c r="QDE378" t="str">
        <f>"0419671"</f>
        <v>0419671</v>
      </c>
      <c r="QDF378" t="s">
        <v>199</v>
      </c>
      <c r="QDG378" t="s">
        <v>25</v>
      </c>
      <c r="QDH378">
        <v>24</v>
      </c>
      <c r="QDI378">
        <v>0.05</v>
      </c>
      <c r="QDJ378">
        <v>1</v>
      </c>
      <c r="QDK378" t="s">
        <v>531</v>
      </c>
      <c r="QDL378" t="str">
        <f>"628669010033"</f>
        <v>628669010033</v>
      </c>
      <c r="QDM378" t="str">
        <f>"0419671"</f>
        <v>0419671</v>
      </c>
      <c r="QDN378" t="s">
        <v>199</v>
      </c>
      <c r="QDO378" t="s">
        <v>25</v>
      </c>
      <c r="QDP378">
        <v>24</v>
      </c>
      <c r="QDQ378">
        <v>0.05</v>
      </c>
      <c r="QDR378">
        <v>1</v>
      </c>
      <c r="QDS378" t="s">
        <v>531</v>
      </c>
      <c r="QDT378" t="str">
        <f>"628669010033"</f>
        <v>628669010033</v>
      </c>
      <c r="QDU378" t="str">
        <f>"0419671"</f>
        <v>0419671</v>
      </c>
      <c r="QDV378" t="s">
        <v>199</v>
      </c>
      <c r="QDW378" t="s">
        <v>25</v>
      </c>
      <c r="QDX378">
        <v>24</v>
      </c>
      <c r="QDY378">
        <v>0.05</v>
      </c>
      <c r="QDZ378">
        <v>1</v>
      </c>
      <c r="QEA378" t="s">
        <v>531</v>
      </c>
      <c r="QEB378" t="str">
        <f>"628669010033"</f>
        <v>628669010033</v>
      </c>
      <c r="QEC378" t="str">
        <f>"0419671"</f>
        <v>0419671</v>
      </c>
      <c r="QED378" t="s">
        <v>199</v>
      </c>
      <c r="QEE378" t="s">
        <v>25</v>
      </c>
      <c r="QEF378">
        <v>24</v>
      </c>
      <c r="QEG378">
        <v>0.05</v>
      </c>
      <c r="QEH378">
        <v>1</v>
      </c>
      <c r="QEI378" t="s">
        <v>531</v>
      </c>
      <c r="QEJ378" t="str">
        <f>"628669010033"</f>
        <v>628669010033</v>
      </c>
      <c r="QEK378" t="str">
        <f>"0419671"</f>
        <v>0419671</v>
      </c>
      <c r="QEL378" t="s">
        <v>199</v>
      </c>
      <c r="QEM378" t="s">
        <v>25</v>
      </c>
      <c r="QEN378">
        <v>24</v>
      </c>
      <c r="QEO378">
        <v>0.05</v>
      </c>
      <c r="QEP378">
        <v>1</v>
      </c>
      <c r="QEQ378" t="s">
        <v>531</v>
      </c>
      <c r="QER378" t="str">
        <f>"628669010033"</f>
        <v>628669010033</v>
      </c>
      <c r="QES378" t="str">
        <f>"0419671"</f>
        <v>0419671</v>
      </c>
      <c r="QET378" t="s">
        <v>199</v>
      </c>
      <c r="QEU378" t="s">
        <v>25</v>
      </c>
      <c r="QEV378">
        <v>24</v>
      </c>
      <c r="QEW378">
        <v>0.05</v>
      </c>
      <c r="QEX378">
        <v>1</v>
      </c>
      <c r="QEY378" t="s">
        <v>531</v>
      </c>
      <c r="QEZ378" t="str">
        <f>"628669010033"</f>
        <v>628669010033</v>
      </c>
      <c r="QFA378" t="str">
        <f>"0419671"</f>
        <v>0419671</v>
      </c>
      <c r="QFB378" t="s">
        <v>199</v>
      </c>
      <c r="QFC378" t="s">
        <v>25</v>
      </c>
      <c r="QFD378">
        <v>24</v>
      </c>
      <c r="QFE378">
        <v>0.05</v>
      </c>
      <c r="QFF378">
        <v>1</v>
      </c>
      <c r="QFG378" t="s">
        <v>531</v>
      </c>
      <c r="QFH378" t="str">
        <f>"628669010033"</f>
        <v>628669010033</v>
      </c>
      <c r="QFI378" t="str">
        <f>"0419671"</f>
        <v>0419671</v>
      </c>
      <c r="QFJ378" t="s">
        <v>199</v>
      </c>
      <c r="QFK378" t="s">
        <v>25</v>
      </c>
      <c r="QFL378">
        <v>24</v>
      </c>
      <c r="QFM378">
        <v>0.05</v>
      </c>
      <c r="QFN378">
        <v>1</v>
      </c>
      <c r="QFO378" t="s">
        <v>531</v>
      </c>
      <c r="QFP378" t="str">
        <f>"628669010033"</f>
        <v>628669010033</v>
      </c>
      <c r="QFQ378" t="str">
        <f>"0419671"</f>
        <v>0419671</v>
      </c>
      <c r="QFR378" t="s">
        <v>199</v>
      </c>
      <c r="QFS378" t="s">
        <v>25</v>
      </c>
      <c r="QFT378">
        <v>24</v>
      </c>
      <c r="QFU378">
        <v>0.05</v>
      </c>
      <c r="QFV378">
        <v>1</v>
      </c>
      <c r="QFW378" t="s">
        <v>531</v>
      </c>
      <c r="QFX378" t="str">
        <f>"628669010033"</f>
        <v>628669010033</v>
      </c>
      <c r="QFY378" t="str">
        <f>"0419671"</f>
        <v>0419671</v>
      </c>
      <c r="QFZ378" t="s">
        <v>199</v>
      </c>
      <c r="QGA378" t="s">
        <v>25</v>
      </c>
      <c r="QGB378">
        <v>24</v>
      </c>
      <c r="QGC378">
        <v>0.05</v>
      </c>
      <c r="QGD378">
        <v>1</v>
      </c>
      <c r="QGE378" t="s">
        <v>531</v>
      </c>
      <c r="QGF378" t="str">
        <f>"628669010033"</f>
        <v>628669010033</v>
      </c>
      <c r="QGG378" t="str">
        <f>"0419671"</f>
        <v>0419671</v>
      </c>
      <c r="QGH378" t="s">
        <v>199</v>
      </c>
      <c r="QGI378" t="s">
        <v>25</v>
      </c>
      <c r="QGJ378">
        <v>24</v>
      </c>
      <c r="QGK378">
        <v>0.05</v>
      </c>
      <c r="QGL378">
        <v>1</v>
      </c>
      <c r="QGM378" t="s">
        <v>531</v>
      </c>
      <c r="QGN378" t="str">
        <f>"628669010033"</f>
        <v>628669010033</v>
      </c>
      <c r="QGO378" t="str">
        <f>"0419671"</f>
        <v>0419671</v>
      </c>
      <c r="QGP378" t="s">
        <v>199</v>
      </c>
      <c r="QGQ378" t="s">
        <v>25</v>
      </c>
      <c r="QGR378">
        <v>24</v>
      </c>
      <c r="QGS378">
        <v>0.05</v>
      </c>
      <c r="QGT378">
        <v>1</v>
      </c>
      <c r="QGU378" t="s">
        <v>531</v>
      </c>
      <c r="QGV378" t="str">
        <f>"628669010033"</f>
        <v>628669010033</v>
      </c>
      <c r="QGW378" t="str">
        <f>"0419671"</f>
        <v>0419671</v>
      </c>
      <c r="QGX378" t="s">
        <v>199</v>
      </c>
      <c r="QGY378" t="s">
        <v>25</v>
      </c>
      <c r="QGZ378">
        <v>24</v>
      </c>
      <c r="QHA378">
        <v>0.05</v>
      </c>
      <c r="QHB378">
        <v>1</v>
      </c>
      <c r="QHC378" t="s">
        <v>531</v>
      </c>
      <c r="QHD378" t="str">
        <f>"628669010033"</f>
        <v>628669010033</v>
      </c>
      <c r="QHE378" t="str">
        <f>"0419671"</f>
        <v>0419671</v>
      </c>
      <c r="QHF378" t="s">
        <v>199</v>
      </c>
      <c r="QHG378" t="s">
        <v>25</v>
      </c>
      <c r="QHH378">
        <v>24</v>
      </c>
      <c r="QHI378">
        <v>0.05</v>
      </c>
      <c r="QHJ378">
        <v>1</v>
      </c>
      <c r="QHK378" t="s">
        <v>531</v>
      </c>
      <c r="QHL378" t="str">
        <f>"628669010033"</f>
        <v>628669010033</v>
      </c>
      <c r="QHM378" t="str">
        <f>"0419671"</f>
        <v>0419671</v>
      </c>
      <c r="QHN378" t="s">
        <v>199</v>
      </c>
      <c r="QHO378" t="s">
        <v>25</v>
      </c>
      <c r="QHP378">
        <v>24</v>
      </c>
      <c r="QHQ378">
        <v>0.05</v>
      </c>
      <c r="QHR378">
        <v>1</v>
      </c>
      <c r="QHS378" t="s">
        <v>531</v>
      </c>
      <c r="QHT378" t="str">
        <f>"628669010033"</f>
        <v>628669010033</v>
      </c>
      <c r="QHU378" t="str">
        <f>"0419671"</f>
        <v>0419671</v>
      </c>
      <c r="QHV378" t="s">
        <v>199</v>
      </c>
      <c r="QHW378" t="s">
        <v>25</v>
      </c>
      <c r="QHX378">
        <v>24</v>
      </c>
      <c r="QHY378">
        <v>0.05</v>
      </c>
      <c r="QHZ378">
        <v>1</v>
      </c>
      <c r="QIA378" t="s">
        <v>531</v>
      </c>
      <c r="QIB378" t="str">
        <f>"628669010033"</f>
        <v>628669010033</v>
      </c>
      <c r="QIC378" t="str">
        <f>"0419671"</f>
        <v>0419671</v>
      </c>
      <c r="QID378" t="s">
        <v>199</v>
      </c>
      <c r="QIE378" t="s">
        <v>25</v>
      </c>
      <c r="QIF378">
        <v>24</v>
      </c>
      <c r="QIG378">
        <v>0.05</v>
      </c>
      <c r="QIH378">
        <v>1</v>
      </c>
      <c r="QII378" t="s">
        <v>531</v>
      </c>
      <c r="QIJ378" t="str">
        <f>"628669010033"</f>
        <v>628669010033</v>
      </c>
      <c r="QIK378" t="str">
        <f>"0419671"</f>
        <v>0419671</v>
      </c>
      <c r="QIL378" t="s">
        <v>199</v>
      </c>
      <c r="QIM378" t="s">
        <v>25</v>
      </c>
      <c r="QIN378">
        <v>24</v>
      </c>
      <c r="QIO378">
        <v>0.05</v>
      </c>
      <c r="QIP378">
        <v>1</v>
      </c>
      <c r="QIQ378" t="s">
        <v>531</v>
      </c>
      <c r="QIR378" t="str">
        <f>"628669010033"</f>
        <v>628669010033</v>
      </c>
      <c r="QIS378" t="str">
        <f>"0419671"</f>
        <v>0419671</v>
      </c>
      <c r="QIT378" t="s">
        <v>199</v>
      </c>
      <c r="QIU378" t="s">
        <v>25</v>
      </c>
      <c r="QIV378">
        <v>24</v>
      </c>
      <c r="QIW378">
        <v>0.05</v>
      </c>
      <c r="QIX378">
        <v>1</v>
      </c>
      <c r="QIY378" t="s">
        <v>531</v>
      </c>
      <c r="QIZ378" t="str">
        <f>"628669010033"</f>
        <v>628669010033</v>
      </c>
      <c r="QJA378" t="str">
        <f>"0419671"</f>
        <v>0419671</v>
      </c>
      <c r="QJB378" t="s">
        <v>199</v>
      </c>
      <c r="QJC378" t="s">
        <v>25</v>
      </c>
      <c r="QJD378">
        <v>24</v>
      </c>
      <c r="QJE378">
        <v>0.05</v>
      </c>
      <c r="QJF378">
        <v>1</v>
      </c>
      <c r="QJG378" t="s">
        <v>531</v>
      </c>
      <c r="QJH378" t="str">
        <f>"628669010033"</f>
        <v>628669010033</v>
      </c>
      <c r="QJI378" t="str">
        <f>"0419671"</f>
        <v>0419671</v>
      </c>
      <c r="QJJ378" t="s">
        <v>199</v>
      </c>
      <c r="QJK378" t="s">
        <v>25</v>
      </c>
      <c r="QJL378">
        <v>24</v>
      </c>
      <c r="QJM378">
        <v>0.05</v>
      </c>
      <c r="QJN378">
        <v>1</v>
      </c>
      <c r="QJO378" t="s">
        <v>531</v>
      </c>
      <c r="QJP378" t="str">
        <f>"628669010033"</f>
        <v>628669010033</v>
      </c>
      <c r="QJQ378" t="str">
        <f>"0419671"</f>
        <v>0419671</v>
      </c>
      <c r="QJR378" t="s">
        <v>199</v>
      </c>
      <c r="QJS378" t="s">
        <v>25</v>
      </c>
      <c r="QJT378">
        <v>24</v>
      </c>
      <c r="QJU378">
        <v>0.05</v>
      </c>
      <c r="QJV378">
        <v>1</v>
      </c>
      <c r="QJW378" t="s">
        <v>531</v>
      </c>
      <c r="QJX378" t="str">
        <f>"628669010033"</f>
        <v>628669010033</v>
      </c>
      <c r="QJY378" t="str">
        <f>"0419671"</f>
        <v>0419671</v>
      </c>
      <c r="QJZ378" t="s">
        <v>199</v>
      </c>
      <c r="QKA378" t="s">
        <v>25</v>
      </c>
      <c r="QKB378">
        <v>24</v>
      </c>
      <c r="QKC378">
        <v>0.05</v>
      </c>
      <c r="QKD378">
        <v>1</v>
      </c>
      <c r="QKE378" t="s">
        <v>531</v>
      </c>
      <c r="QKF378" t="str">
        <f>"628669010033"</f>
        <v>628669010033</v>
      </c>
      <c r="QKG378" t="str">
        <f>"0419671"</f>
        <v>0419671</v>
      </c>
      <c r="QKH378" t="s">
        <v>199</v>
      </c>
      <c r="QKI378" t="s">
        <v>25</v>
      </c>
      <c r="QKJ378">
        <v>24</v>
      </c>
      <c r="QKK378">
        <v>0.05</v>
      </c>
      <c r="QKL378">
        <v>1</v>
      </c>
      <c r="QKM378" t="s">
        <v>531</v>
      </c>
      <c r="QKN378" t="str">
        <f>"628669010033"</f>
        <v>628669010033</v>
      </c>
      <c r="QKO378" t="str">
        <f>"0419671"</f>
        <v>0419671</v>
      </c>
      <c r="QKP378" t="s">
        <v>199</v>
      </c>
      <c r="QKQ378" t="s">
        <v>25</v>
      </c>
      <c r="QKR378">
        <v>24</v>
      </c>
      <c r="QKS378">
        <v>0.05</v>
      </c>
      <c r="QKT378">
        <v>1</v>
      </c>
      <c r="QKU378" t="s">
        <v>531</v>
      </c>
      <c r="QKV378" t="str">
        <f>"628669010033"</f>
        <v>628669010033</v>
      </c>
      <c r="QKW378" t="str">
        <f>"0419671"</f>
        <v>0419671</v>
      </c>
      <c r="QKX378" t="s">
        <v>199</v>
      </c>
      <c r="QKY378" t="s">
        <v>25</v>
      </c>
      <c r="QKZ378">
        <v>24</v>
      </c>
      <c r="QLA378">
        <v>0.05</v>
      </c>
      <c r="QLB378">
        <v>1</v>
      </c>
      <c r="QLC378" t="s">
        <v>531</v>
      </c>
      <c r="QLD378" t="str">
        <f>"628669010033"</f>
        <v>628669010033</v>
      </c>
      <c r="QLE378" t="str">
        <f>"0419671"</f>
        <v>0419671</v>
      </c>
      <c r="QLF378" t="s">
        <v>199</v>
      </c>
      <c r="QLG378" t="s">
        <v>25</v>
      </c>
      <c r="QLH378">
        <v>24</v>
      </c>
      <c r="QLI378">
        <v>0.05</v>
      </c>
      <c r="QLJ378">
        <v>1</v>
      </c>
      <c r="QLK378" t="s">
        <v>531</v>
      </c>
      <c r="QLL378" t="str">
        <f>"628669010033"</f>
        <v>628669010033</v>
      </c>
      <c r="QLM378" t="str">
        <f>"0419671"</f>
        <v>0419671</v>
      </c>
      <c r="QLN378" t="s">
        <v>199</v>
      </c>
      <c r="QLO378" t="s">
        <v>25</v>
      </c>
      <c r="QLP378">
        <v>24</v>
      </c>
      <c r="QLQ378">
        <v>0.05</v>
      </c>
      <c r="QLR378">
        <v>1</v>
      </c>
      <c r="QLS378" t="s">
        <v>531</v>
      </c>
      <c r="QLT378" t="str">
        <f>"628669010033"</f>
        <v>628669010033</v>
      </c>
      <c r="QLU378" t="str">
        <f>"0419671"</f>
        <v>0419671</v>
      </c>
      <c r="QLV378" t="s">
        <v>199</v>
      </c>
      <c r="QLW378" t="s">
        <v>25</v>
      </c>
      <c r="QLX378">
        <v>24</v>
      </c>
      <c r="QLY378">
        <v>0.05</v>
      </c>
      <c r="QLZ378">
        <v>1</v>
      </c>
      <c r="QMA378" t="s">
        <v>531</v>
      </c>
      <c r="QMB378" t="str">
        <f>"628669010033"</f>
        <v>628669010033</v>
      </c>
      <c r="QMC378" t="str">
        <f>"0419671"</f>
        <v>0419671</v>
      </c>
      <c r="QMD378" t="s">
        <v>199</v>
      </c>
      <c r="QME378" t="s">
        <v>25</v>
      </c>
      <c r="QMF378">
        <v>24</v>
      </c>
      <c r="QMG378">
        <v>0.05</v>
      </c>
      <c r="QMH378">
        <v>1</v>
      </c>
      <c r="QMI378" t="s">
        <v>531</v>
      </c>
      <c r="QMJ378" t="str">
        <f>"628669010033"</f>
        <v>628669010033</v>
      </c>
      <c r="QMK378" t="str">
        <f>"0419671"</f>
        <v>0419671</v>
      </c>
      <c r="QML378" t="s">
        <v>199</v>
      </c>
      <c r="QMM378" t="s">
        <v>25</v>
      </c>
      <c r="QMN378">
        <v>24</v>
      </c>
      <c r="QMO378">
        <v>0.05</v>
      </c>
      <c r="QMP378">
        <v>1</v>
      </c>
      <c r="QMQ378" t="s">
        <v>531</v>
      </c>
      <c r="QMR378" t="str">
        <f>"628669010033"</f>
        <v>628669010033</v>
      </c>
      <c r="QMS378" t="str">
        <f>"0419671"</f>
        <v>0419671</v>
      </c>
      <c r="QMT378" t="s">
        <v>199</v>
      </c>
      <c r="QMU378" t="s">
        <v>25</v>
      </c>
      <c r="QMV378">
        <v>24</v>
      </c>
      <c r="QMW378">
        <v>0.05</v>
      </c>
      <c r="QMX378">
        <v>1</v>
      </c>
      <c r="QMY378" t="s">
        <v>531</v>
      </c>
      <c r="QMZ378" t="str">
        <f>"628669010033"</f>
        <v>628669010033</v>
      </c>
      <c r="QNA378" t="str">
        <f>"0419671"</f>
        <v>0419671</v>
      </c>
      <c r="QNB378" t="s">
        <v>199</v>
      </c>
      <c r="QNC378" t="s">
        <v>25</v>
      </c>
      <c r="QND378">
        <v>24</v>
      </c>
      <c r="QNE378">
        <v>0.05</v>
      </c>
      <c r="QNF378">
        <v>1</v>
      </c>
      <c r="QNG378" t="s">
        <v>531</v>
      </c>
      <c r="QNH378" t="str">
        <f>"628669010033"</f>
        <v>628669010033</v>
      </c>
      <c r="QNI378" t="str">
        <f>"0419671"</f>
        <v>0419671</v>
      </c>
      <c r="QNJ378" t="s">
        <v>199</v>
      </c>
      <c r="QNK378" t="s">
        <v>25</v>
      </c>
      <c r="QNL378">
        <v>24</v>
      </c>
      <c r="QNM378">
        <v>0.05</v>
      </c>
      <c r="QNN378">
        <v>1</v>
      </c>
      <c r="QNO378" t="s">
        <v>531</v>
      </c>
      <c r="QNP378" t="str">
        <f>"628669010033"</f>
        <v>628669010033</v>
      </c>
      <c r="QNQ378" t="str">
        <f>"0419671"</f>
        <v>0419671</v>
      </c>
      <c r="QNR378" t="s">
        <v>199</v>
      </c>
      <c r="QNS378" t="s">
        <v>25</v>
      </c>
      <c r="QNT378">
        <v>24</v>
      </c>
      <c r="QNU378">
        <v>0.05</v>
      </c>
      <c r="QNV378">
        <v>1</v>
      </c>
      <c r="QNW378" t="s">
        <v>531</v>
      </c>
      <c r="QNX378" t="str">
        <f>"628669010033"</f>
        <v>628669010033</v>
      </c>
      <c r="QNY378" t="str">
        <f>"0419671"</f>
        <v>0419671</v>
      </c>
      <c r="QNZ378" t="s">
        <v>199</v>
      </c>
      <c r="QOA378" t="s">
        <v>25</v>
      </c>
      <c r="QOB378">
        <v>24</v>
      </c>
      <c r="QOC378">
        <v>0.05</v>
      </c>
      <c r="QOD378">
        <v>1</v>
      </c>
      <c r="QOE378" t="s">
        <v>531</v>
      </c>
      <c r="QOF378" t="str">
        <f>"628669010033"</f>
        <v>628669010033</v>
      </c>
      <c r="QOG378" t="str">
        <f>"0419671"</f>
        <v>0419671</v>
      </c>
      <c r="QOH378" t="s">
        <v>199</v>
      </c>
      <c r="QOI378" t="s">
        <v>25</v>
      </c>
      <c r="QOJ378">
        <v>24</v>
      </c>
      <c r="QOK378">
        <v>0.05</v>
      </c>
      <c r="QOL378">
        <v>1</v>
      </c>
      <c r="QOM378" t="s">
        <v>531</v>
      </c>
      <c r="QON378" t="str">
        <f>"628669010033"</f>
        <v>628669010033</v>
      </c>
      <c r="QOO378" t="str">
        <f>"0419671"</f>
        <v>0419671</v>
      </c>
      <c r="QOP378" t="s">
        <v>199</v>
      </c>
      <c r="QOQ378" t="s">
        <v>25</v>
      </c>
      <c r="QOR378">
        <v>24</v>
      </c>
      <c r="QOS378">
        <v>0.05</v>
      </c>
      <c r="QOT378">
        <v>1</v>
      </c>
      <c r="QOU378" t="s">
        <v>531</v>
      </c>
      <c r="QOV378" t="str">
        <f>"628669010033"</f>
        <v>628669010033</v>
      </c>
      <c r="QOW378" t="str">
        <f>"0419671"</f>
        <v>0419671</v>
      </c>
      <c r="QOX378" t="s">
        <v>199</v>
      </c>
      <c r="QOY378" t="s">
        <v>25</v>
      </c>
      <c r="QOZ378">
        <v>24</v>
      </c>
      <c r="QPA378">
        <v>0.05</v>
      </c>
      <c r="QPB378">
        <v>1</v>
      </c>
      <c r="QPC378" t="s">
        <v>531</v>
      </c>
      <c r="QPD378" t="str">
        <f>"628669010033"</f>
        <v>628669010033</v>
      </c>
      <c r="QPE378" t="str">
        <f>"0419671"</f>
        <v>0419671</v>
      </c>
      <c r="QPF378" t="s">
        <v>199</v>
      </c>
      <c r="QPG378" t="s">
        <v>25</v>
      </c>
      <c r="QPH378">
        <v>24</v>
      </c>
      <c r="QPI378">
        <v>0.05</v>
      </c>
      <c r="QPJ378">
        <v>1</v>
      </c>
      <c r="QPK378" t="s">
        <v>531</v>
      </c>
      <c r="QPL378" t="str">
        <f>"628669010033"</f>
        <v>628669010033</v>
      </c>
      <c r="QPM378" t="str">
        <f>"0419671"</f>
        <v>0419671</v>
      </c>
      <c r="QPN378" t="s">
        <v>199</v>
      </c>
      <c r="QPO378" t="s">
        <v>25</v>
      </c>
      <c r="QPP378">
        <v>24</v>
      </c>
      <c r="QPQ378">
        <v>0.05</v>
      </c>
      <c r="QPR378">
        <v>1</v>
      </c>
      <c r="QPS378" t="s">
        <v>531</v>
      </c>
      <c r="QPT378" t="str">
        <f>"628669010033"</f>
        <v>628669010033</v>
      </c>
      <c r="QPU378" t="str">
        <f>"0419671"</f>
        <v>0419671</v>
      </c>
      <c r="QPV378" t="s">
        <v>199</v>
      </c>
      <c r="QPW378" t="s">
        <v>25</v>
      </c>
      <c r="QPX378">
        <v>24</v>
      </c>
      <c r="QPY378">
        <v>0.05</v>
      </c>
      <c r="QPZ378">
        <v>1</v>
      </c>
      <c r="QQA378" t="s">
        <v>531</v>
      </c>
      <c r="QQB378" t="str">
        <f>"628669010033"</f>
        <v>628669010033</v>
      </c>
      <c r="QQC378" t="str">
        <f>"0419671"</f>
        <v>0419671</v>
      </c>
      <c r="QQD378" t="s">
        <v>199</v>
      </c>
      <c r="QQE378" t="s">
        <v>25</v>
      </c>
      <c r="QQF378">
        <v>24</v>
      </c>
      <c r="QQG378">
        <v>0.05</v>
      </c>
      <c r="QQH378">
        <v>1</v>
      </c>
      <c r="QQI378" t="s">
        <v>531</v>
      </c>
      <c r="QQJ378" t="str">
        <f>"628669010033"</f>
        <v>628669010033</v>
      </c>
      <c r="QQK378" t="str">
        <f>"0419671"</f>
        <v>0419671</v>
      </c>
      <c r="QQL378" t="s">
        <v>199</v>
      </c>
      <c r="QQM378" t="s">
        <v>25</v>
      </c>
      <c r="QQN378">
        <v>24</v>
      </c>
      <c r="QQO378">
        <v>0.05</v>
      </c>
      <c r="QQP378">
        <v>1</v>
      </c>
      <c r="QQQ378" t="s">
        <v>531</v>
      </c>
      <c r="QQR378" t="str">
        <f>"628669010033"</f>
        <v>628669010033</v>
      </c>
      <c r="QQS378" t="str">
        <f>"0419671"</f>
        <v>0419671</v>
      </c>
      <c r="QQT378" t="s">
        <v>199</v>
      </c>
      <c r="QQU378" t="s">
        <v>25</v>
      </c>
      <c r="QQV378">
        <v>24</v>
      </c>
      <c r="QQW378">
        <v>0.05</v>
      </c>
      <c r="QQX378">
        <v>1</v>
      </c>
      <c r="QQY378" t="s">
        <v>531</v>
      </c>
      <c r="QQZ378" t="str">
        <f>"628669010033"</f>
        <v>628669010033</v>
      </c>
      <c r="QRA378" t="str">
        <f>"0419671"</f>
        <v>0419671</v>
      </c>
      <c r="QRB378" t="s">
        <v>199</v>
      </c>
      <c r="QRC378" t="s">
        <v>25</v>
      </c>
      <c r="QRD378">
        <v>24</v>
      </c>
      <c r="QRE378">
        <v>0.05</v>
      </c>
      <c r="QRF378">
        <v>1</v>
      </c>
      <c r="QRG378" t="s">
        <v>531</v>
      </c>
      <c r="QRH378" t="str">
        <f>"628669010033"</f>
        <v>628669010033</v>
      </c>
      <c r="QRI378" t="str">
        <f>"0419671"</f>
        <v>0419671</v>
      </c>
      <c r="QRJ378" t="s">
        <v>199</v>
      </c>
      <c r="QRK378" t="s">
        <v>25</v>
      </c>
      <c r="QRL378">
        <v>24</v>
      </c>
      <c r="QRM378">
        <v>0.05</v>
      </c>
      <c r="QRN378">
        <v>1</v>
      </c>
      <c r="QRO378" t="s">
        <v>531</v>
      </c>
      <c r="QRP378" t="str">
        <f>"628669010033"</f>
        <v>628669010033</v>
      </c>
      <c r="QRQ378" t="str">
        <f>"0419671"</f>
        <v>0419671</v>
      </c>
      <c r="QRR378" t="s">
        <v>199</v>
      </c>
      <c r="QRS378" t="s">
        <v>25</v>
      </c>
      <c r="QRT378">
        <v>24</v>
      </c>
      <c r="QRU378">
        <v>0.05</v>
      </c>
      <c r="QRV378">
        <v>1</v>
      </c>
      <c r="QRW378" t="s">
        <v>531</v>
      </c>
      <c r="QRX378" t="str">
        <f>"628669010033"</f>
        <v>628669010033</v>
      </c>
      <c r="QRY378" t="str">
        <f>"0419671"</f>
        <v>0419671</v>
      </c>
      <c r="QRZ378" t="s">
        <v>199</v>
      </c>
      <c r="QSA378" t="s">
        <v>25</v>
      </c>
      <c r="QSB378">
        <v>24</v>
      </c>
      <c r="QSC378">
        <v>0.05</v>
      </c>
      <c r="QSD378">
        <v>1</v>
      </c>
      <c r="QSE378" t="s">
        <v>531</v>
      </c>
      <c r="QSF378" t="str">
        <f>"628669010033"</f>
        <v>628669010033</v>
      </c>
      <c r="QSG378" t="str">
        <f>"0419671"</f>
        <v>0419671</v>
      </c>
      <c r="QSH378" t="s">
        <v>199</v>
      </c>
      <c r="QSI378" t="s">
        <v>25</v>
      </c>
      <c r="QSJ378">
        <v>24</v>
      </c>
      <c r="QSK378">
        <v>0.05</v>
      </c>
      <c r="QSL378">
        <v>1</v>
      </c>
      <c r="QSM378" t="s">
        <v>531</v>
      </c>
      <c r="QSN378" t="str">
        <f>"628669010033"</f>
        <v>628669010033</v>
      </c>
      <c r="QSO378" t="str">
        <f>"0419671"</f>
        <v>0419671</v>
      </c>
      <c r="QSP378" t="s">
        <v>199</v>
      </c>
      <c r="QSQ378" t="s">
        <v>25</v>
      </c>
      <c r="QSR378">
        <v>24</v>
      </c>
      <c r="QSS378">
        <v>0.05</v>
      </c>
      <c r="QST378">
        <v>1</v>
      </c>
      <c r="QSU378" t="s">
        <v>531</v>
      </c>
      <c r="QSV378" t="str">
        <f>"628669010033"</f>
        <v>628669010033</v>
      </c>
      <c r="QSW378" t="str">
        <f>"0419671"</f>
        <v>0419671</v>
      </c>
      <c r="QSX378" t="s">
        <v>199</v>
      </c>
      <c r="QSY378" t="s">
        <v>25</v>
      </c>
      <c r="QSZ378">
        <v>24</v>
      </c>
      <c r="QTA378">
        <v>0.05</v>
      </c>
      <c r="QTB378">
        <v>1</v>
      </c>
      <c r="QTC378" t="s">
        <v>531</v>
      </c>
      <c r="QTD378" t="str">
        <f>"628669010033"</f>
        <v>628669010033</v>
      </c>
      <c r="QTE378" t="str">
        <f>"0419671"</f>
        <v>0419671</v>
      </c>
      <c r="QTF378" t="s">
        <v>199</v>
      </c>
      <c r="QTG378" t="s">
        <v>25</v>
      </c>
      <c r="QTH378">
        <v>24</v>
      </c>
      <c r="QTI378">
        <v>0.05</v>
      </c>
      <c r="QTJ378">
        <v>1</v>
      </c>
      <c r="QTK378" t="s">
        <v>531</v>
      </c>
      <c r="QTL378" t="str">
        <f>"628669010033"</f>
        <v>628669010033</v>
      </c>
      <c r="QTM378" t="str">
        <f>"0419671"</f>
        <v>0419671</v>
      </c>
      <c r="QTN378" t="s">
        <v>199</v>
      </c>
      <c r="QTO378" t="s">
        <v>25</v>
      </c>
      <c r="QTP378">
        <v>24</v>
      </c>
      <c r="QTQ378">
        <v>0.05</v>
      </c>
      <c r="QTR378">
        <v>1</v>
      </c>
      <c r="QTS378" t="s">
        <v>531</v>
      </c>
      <c r="QTT378" t="str">
        <f>"628669010033"</f>
        <v>628669010033</v>
      </c>
      <c r="QTU378" t="str">
        <f>"0419671"</f>
        <v>0419671</v>
      </c>
      <c r="QTV378" t="s">
        <v>199</v>
      </c>
      <c r="QTW378" t="s">
        <v>25</v>
      </c>
      <c r="QTX378">
        <v>24</v>
      </c>
      <c r="QTY378">
        <v>0.05</v>
      </c>
      <c r="QTZ378">
        <v>1</v>
      </c>
      <c r="QUA378" t="s">
        <v>531</v>
      </c>
      <c r="QUB378" t="str">
        <f>"628669010033"</f>
        <v>628669010033</v>
      </c>
      <c r="QUC378" t="str">
        <f>"0419671"</f>
        <v>0419671</v>
      </c>
      <c r="QUD378" t="s">
        <v>199</v>
      </c>
      <c r="QUE378" t="s">
        <v>25</v>
      </c>
      <c r="QUF378">
        <v>24</v>
      </c>
      <c r="QUG378">
        <v>0.05</v>
      </c>
      <c r="QUH378">
        <v>1</v>
      </c>
      <c r="QUI378" t="s">
        <v>531</v>
      </c>
      <c r="QUJ378" t="str">
        <f>"628669010033"</f>
        <v>628669010033</v>
      </c>
      <c r="QUK378" t="str">
        <f>"0419671"</f>
        <v>0419671</v>
      </c>
      <c r="QUL378" t="s">
        <v>199</v>
      </c>
      <c r="QUM378" t="s">
        <v>25</v>
      </c>
      <c r="QUN378">
        <v>24</v>
      </c>
      <c r="QUO378">
        <v>0.05</v>
      </c>
      <c r="QUP378">
        <v>1</v>
      </c>
      <c r="QUQ378" t="s">
        <v>531</v>
      </c>
      <c r="QUR378" t="str">
        <f>"628669010033"</f>
        <v>628669010033</v>
      </c>
      <c r="QUS378" t="str">
        <f>"0419671"</f>
        <v>0419671</v>
      </c>
      <c r="QUT378" t="s">
        <v>199</v>
      </c>
      <c r="QUU378" t="s">
        <v>25</v>
      </c>
      <c r="QUV378">
        <v>24</v>
      </c>
      <c r="QUW378">
        <v>0.05</v>
      </c>
      <c r="QUX378">
        <v>1</v>
      </c>
      <c r="QUY378" t="s">
        <v>531</v>
      </c>
      <c r="QUZ378" t="str">
        <f>"628669010033"</f>
        <v>628669010033</v>
      </c>
      <c r="QVA378" t="str">
        <f>"0419671"</f>
        <v>0419671</v>
      </c>
      <c r="QVB378" t="s">
        <v>199</v>
      </c>
      <c r="QVC378" t="s">
        <v>25</v>
      </c>
      <c r="QVD378">
        <v>24</v>
      </c>
      <c r="QVE378">
        <v>0.05</v>
      </c>
      <c r="QVF378">
        <v>1</v>
      </c>
      <c r="QVG378" t="s">
        <v>531</v>
      </c>
      <c r="QVH378" t="str">
        <f>"628669010033"</f>
        <v>628669010033</v>
      </c>
      <c r="QVI378" t="str">
        <f>"0419671"</f>
        <v>0419671</v>
      </c>
      <c r="QVJ378" t="s">
        <v>199</v>
      </c>
      <c r="QVK378" t="s">
        <v>25</v>
      </c>
      <c r="QVL378">
        <v>24</v>
      </c>
      <c r="QVM378">
        <v>0.05</v>
      </c>
      <c r="QVN378">
        <v>1</v>
      </c>
      <c r="QVO378" t="s">
        <v>531</v>
      </c>
      <c r="QVP378" t="str">
        <f>"628669010033"</f>
        <v>628669010033</v>
      </c>
      <c r="QVQ378" t="str">
        <f>"0419671"</f>
        <v>0419671</v>
      </c>
      <c r="QVR378" t="s">
        <v>199</v>
      </c>
      <c r="QVS378" t="s">
        <v>25</v>
      </c>
      <c r="QVT378">
        <v>24</v>
      </c>
      <c r="QVU378">
        <v>0.05</v>
      </c>
      <c r="QVV378">
        <v>1</v>
      </c>
      <c r="QVW378" t="s">
        <v>531</v>
      </c>
      <c r="QVX378" t="str">
        <f>"628669010033"</f>
        <v>628669010033</v>
      </c>
      <c r="QVY378" t="str">
        <f>"0419671"</f>
        <v>0419671</v>
      </c>
      <c r="QVZ378" t="s">
        <v>199</v>
      </c>
      <c r="QWA378" t="s">
        <v>25</v>
      </c>
      <c r="QWB378">
        <v>24</v>
      </c>
      <c r="QWC378">
        <v>0.05</v>
      </c>
      <c r="QWD378">
        <v>1</v>
      </c>
      <c r="QWE378" t="s">
        <v>531</v>
      </c>
      <c r="QWF378" t="str">
        <f>"628669010033"</f>
        <v>628669010033</v>
      </c>
      <c r="QWG378" t="str">
        <f>"0419671"</f>
        <v>0419671</v>
      </c>
      <c r="QWH378" t="s">
        <v>199</v>
      </c>
      <c r="QWI378" t="s">
        <v>25</v>
      </c>
      <c r="QWJ378">
        <v>24</v>
      </c>
      <c r="QWK378">
        <v>0.05</v>
      </c>
      <c r="QWL378">
        <v>1</v>
      </c>
      <c r="QWM378" t="s">
        <v>531</v>
      </c>
      <c r="QWN378" t="str">
        <f>"628669010033"</f>
        <v>628669010033</v>
      </c>
      <c r="QWO378" t="str">
        <f>"0419671"</f>
        <v>0419671</v>
      </c>
      <c r="QWP378" t="s">
        <v>199</v>
      </c>
      <c r="QWQ378" t="s">
        <v>25</v>
      </c>
      <c r="QWR378">
        <v>24</v>
      </c>
      <c r="QWS378">
        <v>0.05</v>
      </c>
      <c r="QWT378">
        <v>1</v>
      </c>
      <c r="QWU378" t="s">
        <v>531</v>
      </c>
      <c r="QWV378" t="str">
        <f>"628669010033"</f>
        <v>628669010033</v>
      </c>
      <c r="QWW378" t="str">
        <f>"0419671"</f>
        <v>0419671</v>
      </c>
      <c r="QWX378" t="s">
        <v>199</v>
      </c>
      <c r="QWY378" t="s">
        <v>25</v>
      </c>
      <c r="QWZ378">
        <v>24</v>
      </c>
      <c r="QXA378">
        <v>0.05</v>
      </c>
      <c r="QXB378">
        <v>1</v>
      </c>
      <c r="QXC378" t="s">
        <v>531</v>
      </c>
      <c r="QXD378" t="str">
        <f>"628669010033"</f>
        <v>628669010033</v>
      </c>
      <c r="QXE378" t="str">
        <f>"0419671"</f>
        <v>0419671</v>
      </c>
      <c r="QXF378" t="s">
        <v>199</v>
      </c>
      <c r="QXG378" t="s">
        <v>25</v>
      </c>
      <c r="QXH378">
        <v>24</v>
      </c>
      <c r="QXI378">
        <v>0.05</v>
      </c>
      <c r="QXJ378">
        <v>1</v>
      </c>
      <c r="QXK378" t="s">
        <v>531</v>
      </c>
      <c r="QXL378" t="str">
        <f>"628669010033"</f>
        <v>628669010033</v>
      </c>
      <c r="QXM378" t="str">
        <f>"0419671"</f>
        <v>0419671</v>
      </c>
      <c r="QXN378" t="s">
        <v>199</v>
      </c>
      <c r="QXO378" t="s">
        <v>25</v>
      </c>
      <c r="QXP378">
        <v>24</v>
      </c>
      <c r="QXQ378">
        <v>0.05</v>
      </c>
      <c r="QXR378">
        <v>1</v>
      </c>
      <c r="QXS378" t="s">
        <v>531</v>
      </c>
      <c r="QXT378" t="str">
        <f>"628669010033"</f>
        <v>628669010033</v>
      </c>
      <c r="QXU378" t="str">
        <f>"0419671"</f>
        <v>0419671</v>
      </c>
      <c r="QXV378" t="s">
        <v>199</v>
      </c>
      <c r="QXW378" t="s">
        <v>25</v>
      </c>
      <c r="QXX378">
        <v>24</v>
      </c>
      <c r="QXY378">
        <v>0.05</v>
      </c>
      <c r="QXZ378">
        <v>1</v>
      </c>
      <c r="QYA378" t="s">
        <v>531</v>
      </c>
      <c r="QYB378" t="str">
        <f>"628669010033"</f>
        <v>628669010033</v>
      </c>
      <c r="QYC378" t="str">
        <f>"0419671"</f>
        <v>0419671</v>
      </c>
      <c r="QYD378" t="s">
        <v>199</v>
      </c>
      <c r="QYE378" t="s">
        <v>25</v>
      </c>
      <c r="QYF378">
        <v>24</v>
      </c>
      <c r="QYG378">
        <v>0.05</v>
      </c>
      <c r="QYH378">
        <v>1</v>
      </c>
      <c r="QYI378" t="s">
        <v>531</v>
      </c>
      <c r="QYJ378" t="str">
        <f>"628669010033"</f>
        <v>628669010033</v>
      </c>
      <c r="QYK378" t="str">
        <f>"0419671"</f>
        <v>0419671</v>
      </c>
      <c r="QYL378" t="s">
        <v>199</v>
      </c>
      <c r="QYM378" t="s">
        <v>25</v>
      </c>
      <c r="QYN378">
        <v>24</v>
      </c>
      <c r="QYO378">
        <v>0.05</v>
      </c>
      <c r="QYP378">
        <v>1</v>
      </c>
      <c r="QYQ378" t="s">
        <v>531</v>
      </c>
      <c r="QYR378" t="str">
        <f>"628669010033"</f>
        <v>628669010033</v>
      </c>
      <c r="QYS378" t="str">
        <f>"0419671"</f>
        <v>0419671</v>
      </c>
      <c r="QYT378" t="s">
        <v>199</v>
      </c>
      <c r="QYU378" t="s">
        <v>25</v>
      </c>
      <c r="QYV378">
        <v>24</v>
      </c>
      <c r="QYW378">
        <v>0.05</v>
      </c>
      <c r="QYX378">
        <v>1</v>
      </c>
      <c r="QYY378" t="s">
        <v>531</v>
      </c>
      <c r="QYZ378" t="str">
        <f>"628669010033"</f>
        <v>628669010033</v>
      </c>
      <c r="QZA378" t="str">
        <f>"0419671"</f>
        <v>0419671</v>
      </c>
      <c r="QZB378" t="s">
        <v>199</v>
      </c>
      <c r="QZC378" t="s">
        <v>25</v>
      </c>
      <c r="QZD378">
        <v>24</v>
      </c>
      <c r="QZE378">
        <v>0.05</v>
      </c>
      <c r="QZF378">
        <v>1</v>
      </c>
      <c r="QZG378" t="s">
        <v>531</v>
      </c>
      <c r="QZH378" t="str">
        <f>"628669010033"</f>
        <v>628669010033</v>
      </c>
      <c r="QZI378" t="str">
        <f>"0419671"</f>
        <v>0419671</v>
      </c>
      <c r="QZJ378" t="s">
        <v>199</v>
      </c>
      <c r="QZK378" t="s">
        <v>25</v>
      </c>
      <c r="QZL378">
        <v>24</v>
      </c>
      <c r="QZM378">
        <v>0.05</v>
      </c>
      <c r="QZN378">
        <v>1</v>
      </c>
      <c r="QZO378" t="s">
        <v>531</v>
      </c>
      <c r="QZP378" t="str">
        <f>"628669010033"</f>
        <v>628669010033</v>
      </c>
      <c r="QZQ378" t="str">
        <f>"0419671"</f>
        <v>0419671</v>
      </c>
      <c r="QZR378" t="s">
        <v>199</v>
      </c>
      <c r="QZS378" t="s">
        <v>25</v>
      </c>
      <c r="QZT378">
        <v>24</v>
      </c>
      <c r="QZU378">
        <v>0.05</v>
      </c>
      <c r="QZV378">
        <v>1</v>
      </c>
      <c r="QZW378" t="s">
        <v>531</v>
      </c>
      <c r="QZX378" t="str">
        <f>"628669010033"</f>
        <v>628669010033</v>
      </c>
      <c r="QZY378" t="str">
        <f>"0419671"</f>
        <v>0419671</v>
      </c>
      <c r="QZZ378" t="s">
        <v>199</v>
      </c>
      <c r="RAA378" t="s">
        <v>25</v>
      </c>
      <c r="RAB378">
        <v>24</v>
      </c>
      <c r="RAC378">
        <v>0.05</v>
      </c>
      <c r="RAD378">
        <v>1</v>
      </c>
      <c r="RAE378" t="s">
        <v>531</v>
      </c>
      <c r="RAF378" t="str">
        <f>"628669010033"</f>
        <v>628669010033</v>
      </c>
      <c r="RAG378" t="str">
        <f>"0419671"</f>
        <v>0419671</v>
      </c>
      <c r="RAH378" t="s">
        <v>199</v>
      </c>
      <c r="RAI378" t="s">
        <v>25</v>
      </c>
      <c r="RAJ378">
        <v>24</v>
      </c>
      <c r="RAK378">
        <v>0.05</v>
      </c>
      <c r="RAL378">
        <v>1</v>
      </c>
      <c r="RAM378" t="s">
        <v>531</v>
      </c>
      <c r="RAN378" t="str">
        <f>"628669010033"</f>
        <v>628669010033</v>
      </c>
      <c r="RAO378" t="str">
        <f>"0419671"</f>
        <v>0419671</v>
      </c>
      <c r="RAP378" t="s">
        <v>199</v>
      </c>
      <c r="RAQ378" t="s">
        <v>25</v>
      </c>
      <c r="RAR378">
        <v>24</v>
      </c>
      <c r="RAS378">
        <v>0.05</v>
      </c>
      <c r="RAT378">
        <v>1</v>
      </c>
      <c r="RAU378" t="s">
        <v>531</v>
      </c>
      <c r="RAV378" t="str">
        <f>"628669010033"</f>
        <v>628669010033</v>
      </c>
      <c r="RAW378" t="str">
        <f>"0419671"</f>
        <v>0419671</v>
      </c>
      <c r="RAX378" t="s">
        <v>199</v>
      </c>
      <c r="RAY378" t="s">
        <v>25</v>
      </c>
      <c r="RAZ378">
        <v>24</v>
      </c>
      <c r="RBA378">
        <v>0.05</v>
      </c>
      <c r="RBB378">
        <v>1</v>
      </c>
      <c r="RBC378" t="s">
        <v>531</v>
      </c>
      <c r="RBD378" t="str">
        <f>"628669010033"</f>
        <v>628669010033</v>
      </c>
      <c r="RBE378" t="str">
        <f>"0419671"</f>
        <v>0419671</v>
      </c>
      <c r="RBF378" t="s">
        <v>199</v>
      </c>
      <c r="RBG378" t="s">
        <v>25</v>
      </c>
      <c r="RBH378">
        <v>24</v>
      </c>
      <c r="RBI378">
        <v>0.05</v>
      </c>
      <c r="RBJ378">
        <v>1</v>
      </c>
      <c r="RBK378" t="s">
        <v>531</v>
      </c>
      <c r="RBL378" t="str">
        <f>"628669010033"</f>
        <v>628669010033</v>
      </c>
      <c r="RBM378" t="str">
        <f>"0419671"</f>
        <v>0419671</v>
      </c>
      <c r="RBN378" t="s">
        <v>199</v>
      </c>
      <c r="RBO378" t="s">
        <v>25</v>
      </c>
      <c r="RBP378">
        <v>24</v>
      </c>
      <c r="RBQ378">
        <v>0.05</v>
      </c>
      <c r="RBR378">
        <v>1</v>
      </c>
      <c r="RBS378" t="s">
        <v>531</v>
      </c>
      <c r="RBT378" t="str">
        <f>"628669010033"</f>
        <v>628669010033</v>
      </c>
      <c r="RBU378" t="str">
        <f>"0419671"</f>
        <v>0419671</v>
      </c>
      <c r="RBV378" t="s">
        <v>199</v>
      </c>
      <c r="RBW378" t="s">
        <v>25</v>
      </c>
      <c r="RBX378">
        <v>24</v>
      </c>
      <c r="RBY378">
        <v>0.05</v>
      </c>
      <c r="RBZ378">
        <v>1</v>
      </c>
      <c r="RCA378" t="s">
        <v>531</v>
      </c>
      <c r="RCB378" t="str">
        <f>"628669010033"</f>
        <v>628669010033</v>
      </c>
      <c r="RCC378" t="str">
        <f>"0419671"</f>
        <v>0419671</v>
      </c>
      <c r="RCD378" t="s">
        <v>199</v>
      </c>
      <c r="RCE378" t="s">
        <v>25</v>
      </c>
      <c r="RCF378">
        <v>24</v>
      </c>
      <c r="RCG378">
        <v>0.05</v>
      </c>
      <c r="RCH378">
        <v>1</v>
      </c>
      <c r="RCI378" t="s">
        <v>531</v>
      </c>
      <c r="RCJ378" t="str">
        <f>"628669010033"</f>
        <v>628669010033</v>
      </c>
      <c r="RCK378" t="str">
        <f>"0419671"</f>
        <v>0419671</v>
      </c>
      <c r="RCL378" t="s">
        <v>199</v>
      </c>
      <c r="RCM378" t="s">
        <v>25</v>
      </c>
      <c r="RCN378">
        <v>24</v>
      </c>
      <c r="RCO378">
        <v>0.05</v>
      </c>
      <c r="RCP378">
        <v>1</v>
      </c>
      <c r="RCQ378" t="s">
        <v>531</v>
      </c>
      <c r="RCR378" t="str">
        <f>"628669010033"</f>
        <v>628669010033</v>
      </c>
      <c r="RCS378" t="str">
        <f>"0419671"</f>
        <v>0419671</v>
      </c>
      <c r="RCT378" t="s">
        <v>199</v>
      </c>
      <c r="RCU378" t="s">
        <v>25</v>
      </c>
      <c r="RCV378">
        <v>24</v>
      </c>
      <c r="RCW378">
        <v>0.05</v>
      </c>
      <c r="RCX378">
        <v>1</v>
      </c>
      <c r="RCY378" t="s">
        <v>531</v>
      </c>
      <c r="RCZ378" t="str">
        <f>"628669010033"</f>
        <v>628669010033</v>
      </c>
      <c r="RDA378" t="str">
        <f>"0419671"</f>
        <v>0419671</v>
      </c>
      <c r="RDB378" t="s">
        <v>199</v>
      </c>
      <c r="RDC378" t="s">
        <v>25</v>
      </c>
      <c r="RDD378">
        <v>24</v>
      </c>
      <c r="RDE378">
        <v>0.05</v>
      </c>
      <c r="RDF378">
        <v>1</v>
      </c>
      <c r="RDG378" t="s">
        <v>531</v>
      </c>
      <c r="RDH378" t="str">
        <f>"628669010033"</f>
        <v>628669010033</v>
      </c>
      <c r="RDI378" t="str">
        <f>"0419671"</f>
        <v>0419671</v>
      </c>
      <c r="RDJ378" t="s">
        <v>199</v>
      </c>
      <c r="RDK378" t="s">
        <v>25</v>
      </c>
      <c r="RDL378">
        <v>24</v>
      </c>
      <c r="RDM378">
        <v>0.05</v>
      </c>
      <c r="RDN378">
        <v>1</v>
      </c>
      <c r="RDO378" t="s">
        <v>531</v>
      </c>
      <c r="RDP378" t="str">
        <f>"628669010033"</f>
        <v>628669010033</v>
      </c>
      <c r="RDQ378" t="str">
        <f>"0419671"</f>
        <v>0419671</v>
      </c>
      <c r="RDR378" t="s">
        <v>199</v>
      </c>
      <c r="RDS378" t="s">
        <v>25</v>
      </c>
      <c r="RDT378">
        <v>24</v>
      </c>
      <c r="RDU378">
        <v>0.05</v>
      </c>
      <c r="RDV378">
        <v>1</v>
      </c>
      <c r="RDW378" t="s">
        <v>531</v>
      </c>
      <c r="RDX378" t="str">
        <f>"628669010033"</f>
        <v>628669010033</v>
      </c>
      <c r="RDY378" t="str">
        <f>"0419671"</f>
        <v>0419671</v>
      </c>
      <c r="RDZ378" t="s">
        <v>199</v>
      </c>
      <c r="REA378" t="s">
        <v>25</v>
      </c>
      <c r="REB378">
        <v>24</v>
      </c>
      <c r="REC378">
        <v>0.05</v>
      </c>
      <c r="RED378">
        <v>1</v>
      </c>
      <c r="REE378" t="s">
        <v>531</v>
      </c>
      <c r="REF378" t="str">
        <f>"628669010033"</f>
        <v>628669010033</v>
      </c>
      <c r="REG378" t="str">
        <f>"0419671"</f>
        <v>0419671</v>
      </c>
      <c r="REH378" t="s">
        <v>199</v>
      </c>
      <c r="REI378" t="s">
        <v>25</v>
      </c>
      <c r="REJ378">
        <v>24</v>
      </c>
      <c r="REK378">
        <v>0.05</v>
      </c>
      <c r="REL378">
        <v>1</v>
      </c>
      <c r="REM378" t="s">
        <v>531</v>
      </c>
      <c r="REN378" t="str">
        <f>"628669010033"</f>
        <v>628669010033</v>
      </c>
      <c r="REO378" t="str">
        <f>"0419671"</f>
        <v>0419671</v>
      </c>
      <c r="REP378" t="s">
        <v>199</v>
      </c>
      <c r="REQ378" t="s">
        <v>25</v>
      </c>
      <c r="RER378">
        <v>24</v>
      </c>
      <c r="RES378">
        <v>0.05</v>
      </c>
      <c r="RET378">
        <v>1</v>
      </c>
      <c r="REU378" t="s">
        <v>531</v>
      </c>
      <c r="REV378" t="str">
        <f>"628669010033"</f>
        <v>628669010033</v>
      </c>
      <c r="REW378" t="str">
        <f>"0419671"</f>
        <v>0419671</v>
      </c>
      <c r="REX378" t="s">
        <v>199</v>
      </c>
      <c r="REY378" t="s">
        <v>25</v>
      </c>
      <c r="REZ378">
        <v>24</v>
      </c>
      <c r="RFA378">
        <v>0.05</v>
      </c>
      <c r="RFB378">
        <v>1</v>
      </c>
      <c r="RFC378" t="s">
        <v>531</v>
      </c>
      <c r="RFD378" t="str">
        <f>"628669010033"</f>
        <v>628669010033</v>
      </c>
      <c r="RFE378" t="str">
        <f>"0419671"</f>
        <v>0419671</v>
      </c>
      <c r="RFF378" t="s">
        <v>199</v>
      </c>
      <c r="RFG378" t="s">
        <v>25</v>
      </c>
      <c r="RFH378">
        <v>24</v>
      </c>
      <c r="RFI378">
        <v>0.05</v>
      </c>
      <c r="RFJ378">
        <v>1</v>
      </c>
      <c r="RFK378" t="s">
        <v>531</v>
      </c>
      <c r="RFL378" t="str">
        <f>"628669010033"</f>
        <v>628669010033</v>
      </c>
      <c r="RFM378" t="str">
        <f>"0419671"</f>
        <v>0419671</v>
      </c>
      <c r="RFN378" t="s">
        <v>199</v>
      </c>
      <c r="RFO378" t="s">
        <v>25</v>
      </c>
      <c r="RFP378">
        <v>24</v>
      </c>
      <c r="RFQ378">
        <v>0.05</v>
      </c>
      <c r="RFR378">
        <v>1</v>
      </c>
      <c r="RFS378" t="s">
        <v>531</v>
      </c>
      <c r="RFT378" t="str">
        <f>"628669010033"</f>
        <v>628669010033</v>
      </c>
      <c r="RFU378" t="str">
        <f>"0419671"</f>
        <v>0419671</v>
      </c>
      <c r="RFV378" t="s">
        <v>199</v>
      </c>
      <c r="RFW378" t="s">
        <v>25</v>
      </c>
      <c r="RFX378">
        <v>24</v>
      </c>
      <c r="RFY378">
        <v>0.05</v>
      </c>
      <c r="RFZ378">
        <v>1</v>
      </c>
      <c r="RGA378" t="s">
        <v>531</v>
      </c>
      <c r="RGB378" t="str">
        <f>"628669010033"</f>
        <v>628669010033</v>
      </c>
      <c r="RGC378" t="str">
        <f>"0419671"</f>
        <v>0419671</v>
      </c>
      <c r="RGD378" t="s">
        <v>199</v>
      </c>
      <c r="RGE378" t="s">
        <v>25</v>
      </c>
      <c r="RGF378">
        <v>24</v>
      </c>
      <c r="RGG378">
        <v>0.05</v>
      </c>
      <c r="RGH378">
        <v>1</v>
      </c>
      <c r="RGI378" t="s">
        <v>531</v>
      </c>
      <c r="RGJ378" t="str">
        <f>"628669010033"</f>
        <v>628669010033</v>
      </c>
      <c r="RGK378" t="str">
        <f>"0419671"</f>
        <v>0419671</v>
      </c>
      <c r="RGL378" t="s">
        <v>199</v>
      </c>
      <c r="RGM378" t="s">
        <v>25</v>
      </c>
      <c r="RGN378">
        <v>24</v>
      </c>
      <c r="RGO378">
        <v>0.05</v>
      </c>
      <c r="RGP378">
        <v>1</v>
      </c>
      <c r="RGQ378" t="s">
        <v>531</v>
      </c>
      <c r="RGR378" t="str">
        <f>"628669010033"</f>
        <v>628669010033</v>
      </c>
      <c r="RGS378" t="str">
        <f>"0419671"</f>
        <v>0419671</v>
      </c>
      <c r="RGT378" t="s">
        <v>199</v>
      </c>
      <c r="RGU378" t="s">
        <v>25</v>
      </c>
      <c r="RGV378">
        <v>24</v>
      </c>
      <c r="RGW378">
        <v>0.05</v>
      </c>
      <c r="RGX378">
        <v>1</v>
      </c>
      <c r="RGY378" t="s">
        <v>531</v>
      </c>
      <c r="RGZ378" t="str">
        <f>"628669010033"</f>
        <v>628669010033</v>
      </c>
      <c r="RHA378" t="str">
        <f>"0419671"</f>
        <v>0419671</v>
      </c>
      <c r="RHB378" t="s">
        <v>199</v>
      </c>
      <c r="RHC378" t="s">
        <v>25</v>
      </c>
      <c r="RHD378">
        <v>24</v>
      </c>
      <c r="RHE378">
        <v>0.05</v>
      </c>
      <c r="RHF378">
        <v>1</v>
      </c>
      <c r="RHG378" t="s">
        <v>531</v>
      </c>
      <c r="RHH378" t="str">
        <f>"628669010033"</f>
        <v>628669010033</v>
      </c>
      <c r="RHI378" t="str">
        <f>"0419671"</f>
        <v>0419671</v>
      </c>
      <c r="RHJ378" t="s">
        <v>199</v>
      </c>
      <c r="RHK378" t="s">
        <v>25</v>
      </c>
      <c r="RHL378">
        <v>24</v>
      </c>
      <c r="RHM378">
        <v>0.05</v>
      </c>
      <c r="RHN378">
        <v>1</v>
      </c>
      <c r="RHO378" t="s">
        <v>531</v>
      </c>
      <c r="RHP378" t="str">
        <f>"628669010033"</f>
        <v>628669010033</v>
      </c>
      <c r="RHQ378" t="str">
        <f>"0419671"</f>
        <v>0419671</v>
      </c>
      <c r="RHR378" t="s">
        <v>199</v>
      </c>
      <c r="RHS378" t="s">
        <v>25</v>
      </c>
      <c r="RHT378">
        <v>24</v>
      </c>
      <c r="RHU378">
        <v>0.05</v>
      </c>
      <c r="RHV378">
        <v>1</v>
      </c>
      <c r="RHW378" t="s">
        <v>531</v>
      </c>
      <c r="RHX378" t="str">
        <f>"628669010033"</f>
        <v>628669010033</v>
      </c>
      <c r="RHY378" t="str">
        <f>"0419671"</f>
        <v>0419671</v>
      </c>
      <c r="RHZ378" t="s">
        <v>199</v>
      </c>
      <c r="RIA378" t="s">
        <v>25</v>
      </c>
      <c r="RIB378">
        <v>24</v>
      </c>
      <c r="RIC378">
        <v>0.05</v>
      </c>
      <c r="RID378">
        <v>1</v>
      </c>
      <c r="RIE378" t="s">
        <v>531</v>
      </c>
      <c r="RIF378" t="str">
        <f>"628669010033"</f>
        <v>628669010033</v>
      </c>
      <c r="RIG378" t="str">
        <f>"0419671"</f>
        <v>0419671</v>
      </c>
      <c r="RIH378" t="s">
        <v>199</v>
      </c>
      <c r="RII378" t="s">
        <v>25</v>
      </c>
      <c r="RIJ378">
        <v>24</v>
      </c>
      <c r="RIK378">
        <v>0.05</v>
      </c>
      <c r="RIL378">
        <v>1</v>
      </c>
      <c r="RIM378" t="s">
        <v>531</v>
      </c>
      <c r="RIN378" t="str">
        <f>"628669010033"</f>
        <v>628669010033</v>
      </c>
      <c r="RIO378" t="str">
        <f>"0419671"</f>
        <v>0419671</v>
      </c>
      <c r="RIP378" t="s">
        <v>199</v>
      </c>
      <c r="RIQ378" t="s">
        <v>25</v>
      </c>
      <c r="RIR378">
        <v>24</v>
      </c>
      <c r="RIS378">
        <v>0.05</v>
      </c>
      <c r="RIT378">
        <v>1</v>
      </c>
      <c r="RIU378" t="s">
        <v>531</v>
      </c>
      <c r="RIV378" t="str">
        <f>"628669010033"</f>
        <v>628669010033</v>
      </c>
      <c r="RIW378" t="str">
        <f>"0419671"</f>
        <v>0419671</v>
      </c>
      <c r="RIX378" t="s">
        <v>199</v>
      </c>
      <c r="RIY378" t="s">
        <v>25</v>
      </c>
      <c r="RIZ378">
        <v>24</v>
      </c>
      <c r="RJA378">
        <v>0.05</v>
      </c>
      <c r="RJB378">
        <v>1</v>
      </c>
      <c r="RJC378" t="s">
        <v>531</v>
      </c>
      <c r="RJD378" t="str">
        <f>"628669010033"</f>
        <v>628669010033</v>
      </c>
      <c r="RJE378" t="str">
        <f>"0419671"</f>
        <v>0419671</v>
      </c>
      <c r="RJF378" t="s">
        <v>199</v>
      </c>
      <c r="RJG378" t="s">
        <v>25</v>
      </c>
      <c r="RJH378">
        <v>24</v>
      </c>
      <c r="RJI378">
        <v>0.05</v>
      </c>
      <c r="RJJ378">
        <v>1</v>
      </c>
      <c r="RJK378" t="s">
        <v>531</v>
      </c>
      <c r="RJL378" t="str">
        <f>"628669010033"</f>
        <v>628669010033</v>
      </c>
      <c r="RJM378" t="str">
        <f>"0419671"</f>
        <v>0419671</v>
      </c>
      <c r="RJN378" t="s">
        <v>199</v>
      </c>
      <c r="RJO378" t="s">
        <v>25</v>
      </c>
      <c r="RJP378">
        <v>24</v>
      </c>
      <c r="RJQ378">
        <v>0.05</v>
      </c>
      <c r="RJR378">
        <v>1</v>
      </c>
      <c r="RJS378" t="s">
        <v>531</v>
      </c>
      <c r="RJT378" t="str">
        <f>"628669010033"</f>
        <v>628669010033</v>
      </c>
      <c r="RJU378" t="str">
        <f>"0419671"</f>
        <v>0419671</v>
      </c>
      <c r="RJV378" t="s">
        <v>199</v>
      </c>
      <c r="RJW378" t="s">
        <v>25</v>
      </c>
      <c r="RJX378">
        <v>24</v>
      </c>
      <c r="RJY378">
        <v>0.05</v>
      </c>
      <c r="RJZ378">
        <v>1</v>
      </c>
      <c r="RKA378" t="s">
        <v>531</v>
      </c>
      <c r="RKB378" t="str">
        <f>"628669010033"</f>
        <v>628669010033</v>
      </c>
      <c r="RKC378" t="str">
        <f>"0419671"</f>
        <v>0419671</v>
      </c>
      <c r="RKD378" t="s">
        <v>199</v>
      </c>
      <c r="RKE378" t="s">
        <v>25</v>
      </c>
      <c r="RKF378">
        <v>24</v>
      </c>
      <c r="RKG378">
        <v>0.05</v>
      </c>
      <c r="RKH378">
        <v>1</v>
      </c>
      <c r="RKI378" t="s">
        <v>531</v>
      </c>
      <c r="RKJ378" t="str">
        <f>"628669010033"</f>
        <v>628669010033</v>
      </c>
      <c r="RKK378" t="str">
        <f>"0419671"</f>
        <v>0419671</v>
      </c>
      <c r="RKL378" t="s">
        <v>199</v>
      </c>
      <c r="RKM378" t="s">
        <v>25</v>
      </c>
      <c r="RKN378">
        <v>24</v>
      </c>
      <c r="RKO378">
        <v>0.05</v>
      </c>
      <c r="RKP378">
        <v>1</v>
      </c>
      <c r="RKQ378" t="s">
        <v>531</v>
      </c>
      <c r="RKR378" t="str">
        <f>"628669010033"</f>
        <v>628669010033</v>
      </c>
      <c r="RKS378" t="str">
        <f>"0419671"</f>
        <v>0419671</v>
      </c>
      <c r="RKT378" t="s">
        <v>199</v>
      </c>
      <c r="RKU378" t="s">
        <v>25</v>
      </c>
      <c r="RKV378">
        <v>24</v>
      </c>
      <c r="RKW378">
        <v>0.05</v>
      </c>
      <c r="RKX378">
        <v>1</v>
      </c>
      <c r="RKY378" t="s">
        <v>531</v>
      </c>
      <c r="RKZ378" t="str">
        <f>"628669010033"</f>
        <v>628669010033</v>
      </c>
      <c r="RLA378" t="str">
        <f>"0419671"</f>
        <v>0419671</v>
      </c>
      <c r="RLB378" t="s">
        <v>199</v>
      </c>
      <c r="RLC378" t="s">
        <v>25</v>
      </c>
      <c r="RLD378">
        <v>24</v>
      </c>
      <c r="RLE378">
        <v>0.05</v>
      </c>
      <c r="RLF378">
        <v>1</v>
      </c>
      <c r="RLG378" t="s">
        <v>531</v>
      </c>
      <c r="RLH378" t="str">
        <f>"628669010033"</f>
        <v>628669010033</v>
      </c>
      <c r="RLI378" t="str">
        <f>"0419671"</f>
        <v>0419671</v>
      </c>
      <c r="RLJ378" t="s">
        <v>199</v>
      </c>
      <c r="RLK378" t="s">
        <v>25</v>
      </c>
      <c r="RLL378">
        <v>24</v>
      </c>
      <c r="RLM378">
        <v>0.05</v>
      </c>
      <c r="RLN378">
        <v>1</v>
      </c>
      <c r="RLO378" t="s">
        <v>531</v>
      </c>
      <c r="RLP378" t="str">
        <f>"628669010033"</f>
        <v>628669010033</v>
      </c>
      <c r="RLQ378" t="str">
        <f>"0419671"</f>
        <v>0419671</v>
      </c>
      <c r="RLR378" t="s">
        <v>199</v>
      </c>
      <c r="RLS378" t="s">
        <v>25</v>
      </c>
      <c r="RLT378">
        <v>24</v>
      </c>
      <c r="RLU378">
        <v>0.05</v>
      </c>
      <c r="RLV378">
        <v>1</v>
      </c>
      <c r="RLW378" t="s">
        <v>531</v>
      </c>
      <c r="RLX378" t="str">
        <f>"628669010033"</f>
        <v>628669010033</v>
      </c>
      <c r="RLY378" t="str">
        <f>"0419671"</f>
        <v>0419671</v>
      </c>
      <c r="RLZ378" t="s">
        <v>199</v>
      </c>
      <c r="RMA378" t="s">
        <v>25</v>
      </c>
      <c r="RMB378">
        <v>24</v>
      </c>
      <c r="RMC378">
        <v>0.05</v>
      </c>
      <c r="RMD378">
        <v>1</v>
      </c>
      <c r="RME378" t="s">
        <v>531</v>
      </c>
      <c r="RMF378" t="str">
        <f>"628669010033"</f>
        <v>628669010033</v>
      </c>
      <c r="RMG378" t="str">
        <f>"0419671"</f>
        <v>0419671</v>
      </c>
      <c r="RMH378" t="s">
        <v>199</v>
      </c>
      <c r="RMI378" t="s">
        <v>25</v>
      </c>
      <c r="RMJ378">
        <v>24</v>
      </c>
      <c r="RMK378">
        <v>0.05</v>
      </c>
      <c r="RML378">
        <v>1</v>
      </c>
      <c r="RMM378" t="s">
        <v>531</v>
      </c>
      <c r="RMN378" t="str">
        <f>"628669010033"</f>
        <v>628669010033</v>
      </c>
      <c r="RMO378" t="str">
        <f>"0419671"</f>
        <v>0419671</v>
      </c>
      <c r="RMP378" t="s">
        <v>199</v>
      </c>
      <c r="RMQ378" t="s">
        <v>25</v>
      </c>
      <c r="RMR378">
        <v>24</v>
      </c>
      <c r="RMS378">
        <v>0.05</v>
      </c>
      <c r="RMT378">
        <v>1</v>
      </c>
      <c r="RMU378" t="s">
        <v>531</v>
      </c>
      <c r="RMV378" t="str">
        <f>"628669010033"</f>
        <v>628669010033</v>
      </c>
      <c r="RMW378" t="str">
        <f>"0419671"</f>
        <v>0419671</v>
      </c>
      <c r="RMX378" t="s">
        <v>199</v>
      </c>
      <c r="RMY378" t="s">
        <v>25</v>
      </c>
      <c r="RMZ378">
        <v>24</v>
      </c>
      <c r="RNA378">
        <v>0.05</v>
      </c>
      <c r="RNB378">
        <v>1</v>
      </c>
      <c r="RNC378" t="s">
        <v>531</v>
      </c>
      <c r="RND378" t="str">
        <f>"628669010033"</f>
        <v>628669010033</v>
      </c>
      <c r="RNE378" t="str">
        <f>"0419671"</f>
        <v>0419671</v>
      </c>
      <c r="RNF378" t="s">
        <v>199</v>
      </c>
      <c r="RNG378" t="s">
        <v>25</v>
      </c>
      <c r="RNH378">
        <v>24</v>
      </c>
      <c r="RNI378">
        <v>0.05</v>
      </c>
      <c r="RNJ378">
        <v>1</v>
      </c>
      <c r="RNK378" t="s">
        <v>531</v>
      </c>
      <c r="RNL378" t="str">
        <f>"628669010033"</f>
        <v>628669010033</v>
      </c>
      <c r="RNM378" t="str">
        <f>"0419671"</f>
        <v>0419671</v>
      </c>
      <c r="RNN378" t="s">
        <v>199</v>
      </c>
      <c r="RNO378" t="s">
        <v>25</v>
      </c>
      <c r="RNP378">
        <v>24</v>
      </c>
      <c r="RNQ378">
        <v>0.05</v>
      </c>
      <c r="RNR378">
        <v>1</v>
      </c>
      <c r="RNS378" t="s">
        <v>531</v>
      </c>
      <c r="RNT378" t="str">
        <f>"628669010033"</f>
        <v>628669010033</v>
      </c>
      <c r="RNU378" t="str">
        <f>"0419671"</f>
        <v>0419671</v>
      </c>
      <c r="RNV378" t="s">
        <v>199</v>
      </c>
      <c r="RNW378" t="s">
        <v>25</v>
      </c>
      <c r="RNX378">
        <v>24</v>
      </c>
      <c r="RNY378">
        <v>0.05</v>
      </c>
      <c r="RNZ378">
        <v>1</v>
      </c>
      <c r="ROA378" t="s">
        <v>531</v>
      </c>
      <c r="ROB378" t="str">
        <f>"628669010033"</f>
        <v>628669010033</v>
      </c>
      <c r="ROC378" t="str">
        <f>"0419671"</f>
        <v>0419671</v>
      </c>
      <c r="ROD378" t="s">
        <v>199</v>
      </c>
      <c r="ROE378" t="s">
        <v>25</v>
      </c>
      <c r="ROF378">
        <v>24</v>
      </c>
      <c r="ROG378">
        <v>0.05</v>
      </c>
      <c r="ROH378">
        <v>1</v>
      </c>
      <c r="ROI378" t="s">
        <v>531</v>
      </c>
      <c r="ROJ378" t="str">
        <f>"628669010033"</f>
        <v>628669010033</v>
      </c>
      <c r="ROK378" t="str">
        <f>"0419671"</f>
        <v>0419671</v>
      </c>
      <c r="ROL378" t="s">
        <v>199</v>
      </c>
      <c r="ROM378" t="s">
        <v>25</v>
      </c>
      <c r="RON378">
        <v>24</v>
      </c>
      <c r="ROO378">
        <v>0.05</v>
      </c>
      <c r="ROP378">
        <v>1</v>
      </c>
      <c r="ROQ378" t="s">
        <v>531</v>
      </c>
      <c r="ROR378" t="str">
        <f>"628669010033"</f>
        <v>628669010033</v>
      </c>
      <c r="ROS378" t="str">
        <f>"0419671"</f>
        <v>0419671</v>
      </c>
      <c r="ROT378" t="s">
        <v>199</v>
      </c>
      <c r="ROU378" t="s">
        <v>25</v>
      </c>
      <c r="ROV378">
        <v>24</v>
      </c>
      <c r="ROW378">
        <v>0.05</v>
      </c>
      <c r="ROX378">
        <v>1</v>
      </c>
      <c r="ROY378" t="s">
        <v>531</v>
      </c>
      <c r="ROZ378" t="str">
        <f>"628669010033"</f>
        <v>628669010033</v>
      </c>
      <c r="RPA378" t="str">
        <f>"0419671"</f>
        <v>0419671</v>
      </c>
      <c r="RPB378" t="s">
        <v>199</v>
      </c>
      <c r="RPC378" t="s">
        <v>25</v>
      </c>
      <c r="RPD378">
        <v>24</v>
      </c>
      <c r="RPE378">
        <v>0.05</v>
      </c>
      <c r="RPF378">
        <v>1</v>
      </c>
      <c r="RPG378" t="s">
        <v>531</v>
      </c>
      <c r="RPH378" t="str">
        <f>"628669010033"</f>
        <v>628669010033</v>
      </c>
      <c r="RPI378" t="str">
        <f>"0419671"</f>
        <v>0419671</v>
      </c>
      <c r="RPJ378" t="s">
        <v>199</v>
      </c>
      <c r="RPK378" t="s">
        <v>25</v>
      </c>
      <c r="RPL378">
        <v>24</v>
      </c>
      <c r="RPM378">
        <v>0.05</v>
      </c>
      <c r="RPN378">
        <v>1</v>
      </c>
      <c r="RPO378" t="s">
        <v>531</v>
      </c>
      <c r="RPP378" t="str">
        <f>"628669010033"</f>
        <v>628669010033</v>
      </c>
      <c r="RPQ378" t="str">
        <f>"0419671"</f>
        <v>0419671</v>
      </c>
      <c r="RPR378" t="s">
        <v>199</v>
      </c>
      <c r="RPS378" t="s">
        <v>25</v>
      </c>
      <c r="RPT378">
        <v>24</v>
      </c>
      <c r="RPU378">
        <v>0.05</v>
      </c>
      <c r="RPV378">
        <v>1</v>
      </c>
      <c r="RPW378" t="s">
        <v>531</v>
      </c>
      <c r="RPX378" t="str">
        <f>"628669010033"</f>
        <v>628669010033</v>
      </c>
      <c r="RPY378" t="str">
        <f>"0419671"</f>
        <v>0419671</v>
      </c>
      <c r="RPZ378" t="s">
        <v>199</v>
      </c>
      <c r="RQA378" t="s">
        <v>25</v>
      </c>
      <c r="RQB378">
        <v>24</v>
      </c>
      <c r="RQC378">
        <v>0.05</v>
      </c>
      <c r="RQD378">
        <v>1</v>
      </c>
      <c r="RQE378" t="s">
        <v>531</v>
      </c>
      <c r="RQF378" t="str">
        <f>"628669010033"</f>
        <v>628669010033</v>
      </c>
      <c r="RQG378" t="str">
        <f>"0419671"</f>
        <v>0419671</v>
      </c>
      <c r="RQH378" t="s">
        <v>199</v>
      </c>
      <c r="RQI378" t="s">
        <v>25</v>
      </c>
      <c r="RQJ378">
        <v>24</v>
      </c>
      <c r="RQK378">
        <v>0.05</v>
      </c>
      <c r="RQL378">
        <v>1</v>
      </c>
      <c r="RQM378" t="s">
        <v>531</v>
      </c>
      <c r="RQN378" t="str">
        <f>"628669010033"</f>
        <v>628669010033</v>
      </c>
      <c r="RQO378" t="str">
        <f>"0419671"</f>
        <v>0419671</v>
      </c>
      <c r="RQP378" t="s">
        <v>199</v>
      </c>
      <c r="RQQ378" t="s">
        <v>25</v>
      </c>
      <c r="RQR378">
        <v>24</v>
      </c>
      <c r="RQS378">
        <v>0.05</v>
      </c>
      <c r="RQT378">
        <v>1</v>
      </c>
      <c r="RQU378" t="s">
        <v>531</v>
      </c>
      <c r="RQV378" t="str">
        <f>"628669010033"</f>
        <v>628669010033</v>
      </c>
      <c r="RQW378" t="str">
        <f>"0419671"</f>
        <v>0419671</v>
      </c>
      <c r="RQX378" t="s">
        <v>199</v>
      </c>
      <c r="RQY378" t="s">
        <v>25</v>
      </c>
      <c r="RQZ378">
        <v>24</v>
      </c>
      <c r="RRA378">
        <v>0.05</v>
      </c>
      <c r="RRB378">
        <v>1</v>
      </c>
      <c r="RRC378" t="s">
        <v>531</v>
      </c>
      <c r="RRD378" t="str">
        <f>"628669010033"</f>
        <v>628669010033</v>
      </c>
      <c r="RRE378" t="str">
        <f>"0419671"</f>
        <v>0419671</v>
      </c>
      <c r="RRF378" t="s">
        <v>199</v>
      </c>
      <c r="RRG378" t="s">
        <v>25</v>
      </c>
      <c r="RRH378">
        <v>24</v>
      </c>
      <c r="RRI378">
        <v>0.05</v>
      </c>
      <c r="RRJ378">
        <v>1</v>
      </c>
      <c r="RRK378" t="s">
        <v>531</v>
      </c>
      <c r="RRL378" t="str">
        <f>"628669010033"</f>
        <v>628669010033</v>
      </c>
      <c r="RRM378" t="str">
        <f>"0419671"</f>
        <v>0419671</v>
      </c>
      <c r="RRN378" t="s">
        <v>199</v>
      </c>
      <c r="RRO378" t="s">
        <v>25</v>
      </c>
      <c r="RRP378">
        <v>24</v>
      </c>
      <c r="RRQ378">
        <v>0.05</v>
      </c>
      <c r="RRR378">
        <v>1</v>
      </c>
      <c r="RRS378" t="s">
        <v>531</v>
      </c>
      <c r="RRT378" t="str">
        <f>"628669010033"</f>
        <v>628669010033</v>
      </c>
      <c r="RRU378" t="str">
        <f>"0419671"</f>
        <v>0419671</v>
      </c>
      <c r="RRV378" t="s">
        <v>199</v>
      </c>
      <c r="RRW378" t="s">
        <v>25</v>
      </c>
      <c r="RRX378">
        <v>24</v>
      </c>
      <c r="RRY378">
        <v>0.05</v>
      </c>
      <c r="RRZ378">
        <v>1</v>
      </c>
      <c r="RSA378" t="s">
        <v>531</v>
      </c>
      <c r="RSB378" t="str">
        <f>"628669010033"</f>
        <v>628669010033</v>
      </c>
      <c r="RSC378" t="str">
        <f>"0419671"</f>
        <v>0419671</v>
      </c>
      <c r="RSD378" t="s">
        <v>199</v>
      </c>
      <c r="RSE378" t="s">
        <v>25</v>
      </c>
      <c r="RSF378">
        <v>24</v>
      </c>
      <c r="RSG378">
        <v>0.05</v>
      </c>
      <c r="RSH378">
        <v>1</v>
      </c>
      <c r="RSI378" t="s">
        <v>531</v>
      </c>
      <c r="RSJ378" t="str">
        <f>"628669010033"</f>
        <v>628669010033</v>
      </c>
      <c r="RSK378" t="str">
        <f>"0419671"</f>
        <v>0419671</v>
      </c>
      <c r="RSL378" t="s">
        <v>199</v>
      </c>
      <c r="RSM378" t="s">
        <v>25</v>
      </c>
      <c r="RSN378">
        <v>24</v>
      </c>
      <c r="RSO378">
        <v>0.05</v>
      </c>
      <c r="RSP378">
        <v>1</v>
      </c>
      <c r="RSQ378" t="s">
        <v>531</v>
      </c>
      <c r="RSR378" t="str">
        <f>"628669010033"</f>
        <v>628669010033</v>
      </c>
      <c r="RSS378" t="str">
        <f>"0419671"</f>
        <v>0419671</v>
      </c>
      <c r="RST378" t="s">
        <v>199</v>
      </c>
      <c r="RSU378" t="s">
        <v>25</v>
      </c>
      <c r="RSV378">
        <v>24</v>
      </c>
      <c r="RSW378">
        <v>0.05</v>
      </c>
      <c r="RSX378">
        <v>1</v>
      </c>
      <c r="RSY378" t="s">
        <v>531</v>
      </c>
      <c r="RSZ378" t="str">
        <f>"628669010033"</f>
        <v>628669010033</v>
      </c>
      <c r="RTA378" t="str">
        <f>"0419671"</f>
        <v>0419671</v>
      </c>
      <c r="RTB378" t="s">
        <v>199</v>
      </c>
      <c r="RTC378" t="s">
        <v>25</v>
      </c>
      <c r="RTD378">
        <v>24</v>
      </c>
      <c r="RTE378">
        <v>0.05</v>
      </c>
      <c r="RTF378">
        <v>1</v>
      </c>
      <c r="RTG378" t="s">
        <v>531</v>
      </c>
      <c r="RTH378" t="str">
        <f>"628669010033"</f>
        <v>628669010033</v>
      </c>
      <c r="RTI378" t="str">
        <f>"0419671"</f>
        <v>0419671</v>
      </c>
      <c r="RTJ378" t="s">
        <v>199</v>
      </c>
      <c r="RTK378" t="s">
        <v>25</v>
      </c>
      <c r="RTL378">
        <v>24</v>
      </c>
      <c r="RTM378">
        <v>0.05</v>
      </c>
      <c r="RTN378">
        <v>1</v>
      </c>
      <c r="RTO378" t="s">
        <v>531</v>
      </c>
      <c r="RTP378" t="str">
        <f>"628669010033"</f>
        <v>628669010033</v>
      </c>
      <c r="RTQ378" t="str">
        <f>"0419671"</f>
        <v>0419671</v>
      </c>
      <c r="RTR378" t="s">
        <v>199</v>
      </c>
      <c r="RTS378" t="s">
        <v>25</v>
      </c>
      <c r="RTT378">
        <v>24</v>
      </c>
      <c r="RTU378">
        <v>0.05</v>
      </c>
      <c r="RTV378">
        <v>1</v>
      </c>
      <c r="RTW378" t="s">
        <v>531</v>
      </c>
      <c r="RTX378" t="str">
        <f>"628669010033"</f>
        <v>628669010033</v>
      </c>
      <c r="RTY378" t="str">
        <f>"0419671"</f>
        <v>0419671</v>
      </c>
      <c r="RTZ378" t="s">
        <v>199</v>
      </c>
      <c r="RUA378" t="s">
        <v>25</v>
      </c>
      <c r="RUB378">
        <v>24</v>
      </c>
      <c r="RUC378">
        <v>0.05</v>
      </c>
      <c r="RUD378">
        <v>1</v>
      </c>
      <c r="RUE378" t="s">
        <v>531</v>
      </c>
      <c r="RUF378" t="str">
        <f>"628669010033"</f>
        <v>628669010033</v>
      </c>
      <c r="RUG378" t="str">
        <f>"0419671"</f>
        <v>0419671</v>
      </c>
      <c r="RUH378" t="s">
        <v>199</v>
      </c>
      <c r="RUI378" t="s">
        <v>25</v>
      </c>
      <c r="RUJ378">
        <v>24</v>
      </c>
      <c r="RUK378">
        <v>0.05</v>
      </c>
      <c r="RUL378">
        <v>1</v>
      </c>
      <c r="RUM378" t="s">
        <v>531</v>
      </c>
      <c r="RUN378" t="str">
        <f>"628669010033"</f>
        <v>628669010033</v>
      </c>
      <c r="RUO378" t="str">
        <f>"0419671"</f>
        <v>0419671</v>
      </c>
      <c r="RUP378" t="s">
        <v>199</v>
      </c>
      <c r="RUQ378" t="s">
        <v>25</v>
      </c>
      <c r="RUR378">
        <v>24</v>
      </c>
      <c r="RUS378">
        <v>0.05</v>
      </c>
      <c r="RUT378">
        <v>1</v>
      </c>
      <c r="RUU378" t="s">
        <v>531</v>
      </c>
      <c r="RUV378" t="str">
        <f>"628669010033"</f>
        <v>628669010033</v>
      </c>
      <c r="RUW378" t="str">
        <f>"0419671"</f>
        <v>0419671</v>
      </c>
      <c r="RUX378" t="s">
        <v>199</v>
      </c>
      <c r="RUY378" t="s">
        <v>25</v>
      </c>
      <c r="RUZ378">
        <v>24</v>
      </c>
      <c r="RVA378">
        <v>0.05</v>
      </c>
      <c r="RVB378">
        <v>1</v>
      </c>
      <c r="RVC378" t="s">
        <v>531</v>
      </c>
      <c r="RVD378" t="str">
        <f>"628669010033"</f>
        <v>628669010033</v>
      </c>
      <c r="RVE378" t="str">
        <f>"0419671"</f>
        <v>0419671</v>
      </c>
      <c r="RVF378" t="s">
        <v>199</v>
      </c>
      <c r="RVG378" t="s">
        <v>25</v>
      </c>
      <c r="RVH378">
        <v>24</v>
      </c>
      <c r="RVI378">
        <v>0.05</v>
      </c>
      <c r="RVJ378">
        <v>1</v>
      </c>
      <c r="RVK378" t="s">
        <v>531</v>
      </c>
      <c r="RVL378" t="str">
        <f>"628669010033"</f>
        <v>628669010033</v>
      </c>
      <c r="RVM378" t="str">
        <f>"0419671"</f>
        <v>0419671</v>
      </c>
      <c r="RVN378" t="s">
        <v>199</v>
      </c>
      <c r="RVO378" t="s">
        <v>25</v>
      </c>
      <c r="RVP378">
        <v>24</v>
      </c>
      <c r="RVQ378">
        <v>0.05</v>
      </c>
      <c r="RVR378">
        <v>1</v>
      </c>
      <c r="RVS378" t="s">
        <v>531</v>
      </c>
      <c r="RVT378" t="str">
        <f>"628669010033"</f>
        <v>628669010033</v>
      </c>
      <c r="RVU378" t="str">
        <f>"0419671"</f>
        <v>0419671</v>
      </c>
      <c r="RVV378" t="s">
        <v>199</v>
      </c>
      <c r="RVW378" t="s">
        <v>25</v>
      </c>
      <c r="RVX378">
        <v>24</v>
      </c>
      <c r="RVY378">
        <v>0.05</v>
      </c>
      <c r="RVZ378">
        <v>1</v>
      </c>
      <c r="RWA378" t="s">
        <v>531</v>
      </c>
      <c r="RWB378" t="str">
        <f>"628669010033"</f>
        <v>628669010033</v>
      </c>
      <c r="RWC378" t="str">
        <f>"0419671"</f>
        <v>0419671</v>
      </c>
      <c r="RWD378" t="s">
        <v>199</v>
      </c>
      <c r="RWE378" t="s">
        <v>25</v>
      </c>
      <c r="RWF378">
        <v>24</v>
      </c>
      <c r="RWG378">
        <v>0.05</v>
      </c>
      <c r="RWH378">
        <v>1</v>
      </c>
      <c r="RWI378" t="s">
        <v>531</v>
      </c>
      <c r="RWJ378" t="str">
        <f>"628669010033"</f>
        <v>628669010033</v>
      </c>
      <c r="RWK378" t="str">
        <f>"0419671"</f>
        <v>0419671</v>
      </c>
      <c r="RWL378" t="s">
        <v>199</v>
      </c>
      <c r="RWM378" t="s">
        <v>25</v>
      </c>
      <c r="RWN378">
        <v>24</v>
      </c>
      <c r="RWO378">
        <v>0.05</v>
      </c>
      <c r="RWP378">
        <v>1</v>
      </c>
      <c r="RWQ378" t="s">
        <v>531</v>
      </c>
      <c r="RWR378" t="str">
        <f>"628669010033"</f>
        <v>628669010033</v>
      </c>
      <c r="RWS378" t="str">
        <f>"0419671"</f>
        <v>0419671</v>
      </c>
      <c r="RWT378" t="s">
        <v>199</v>
      </c>
      <c r="RWU378" t="s">
        <v>25</v>
      </c>
      <c r="RWV378">
        <v>24</v>
      </c>
      <c r="RWW378">
        <v>0.05</v>
      </c>
      <c r="RWX378">
        <v>1</v>
      </c>
      <c r="RWY378" t="s">
        <v>531</v>
      </c>
      <c r="RWZ378" t="str">
        <f>"628669010033"</f>
        <v>628669010033</v>
      </c>
      <c r="RXA378" t="str">
        <f>"0419671"</f>
        <v>0419671</v>
      </c>
      <c r="RXB378" t="s">
        <v>199</v>
      </c>
      <c r="RXC378" t="s">
        <v>25</v>
      </c>
      <c r="RXD378">
        <v>24</v>
      </c>
      <c r="RXE378">
        <v>0.05</v>
      </c>
      <c r="RXF378">
        <v>1</v>
      </c>
      <c r="RXG378" t="s">
        <v>531</v>
      </c>
      <c r="RXH378" t="str">
        <f>"628669010033"</f>
        <v>628669010033</v>
      </c>
      <c r="RXI378" t="str">
        <f>"0419671"</f>
        <v>0419671</v>
      </c>
      <c r="RXJ378" t="s">
        <v>199</v>
      </c>
      <c r="RXK378" t="s">
        <v>25</v>
      </c>
      <c r="RXL378">
        <v>24</v>
      </c>
      <c r="RXM378">
        <v>0.05</v>
      </c>
      <c r="RXN378">
        <v>1</v>
      </c>
      <c r="RXO378" t="s">
        <v>531</v>
      </c>
      <c r="RXP378" t="str">
        <f>"628669010033"</f>
        <v>628669010033</v>
      </c>
      <c r="RXQ378" t="str">
        <f>"0419671"</f>
        <v>0419671</v>
      </c>
      <c r="RXR378" t="s">
        <v>199</v>
      </c>
      <c r="RXS378" t="s">
        <v>25</v>
      </c>
      <c r="RXT378">
        <v>24</v>
      </c>
      <c r="RXU378">
        <v>0.05</v>
      </c>
      <c r="RXV378">
        <v>1</v>
      </c>
      <c r="RXW378" t="s">
        <v>531</v>
      </c>
      <c r="RXX378" t="str">
        <f>"628669010033"</f>
        <v>628669010033</v>
      </c>
      <c r="RXY378" t="str">
        <f>"0419671"</f>
        <v>0419671</v>
      </c>
      <c r="RXZ378" t="s">
        <v>199</v>
      </c>
      <c r="RYA378" t="s">
        <v>25</v>
      </c>
      <c r="RYB378">
        <v>24</v>
      </c>
      <c r="RYC378">
        <v>0.05</v>
      </c>
      <c r="RYD378">
        <v>1</v>
      </c>
      <c r="RYE378" t="s">
        <v>531</v>
      </c>
      <c r="RYF378" t="str">
        <f>"628669010033"</f>
        <v>628669010033</v>
      </c>
      <c r="RYG378" t="str">
        <f>"0419671"</f>
        <v>0419671</v>
      </c>
      <c r="RYH378" t="s">
        <v>199</v>
      </c>
      <c r="RYI378" t="s">
        <v>25</v>
      </c>
      <c r="RYJ378">
        <v>24</v>
      </c>
      <c r="RYK378">
        <v>0.05</v>
      </c>
      <c r="RYL378">
        <v>1</v>
      </c>
      <c r="RYM378" t="s">
        <v>531</v>
      </c>
      <c r="RYN378" t="str">
        <f>"628669010033"</f>
        <v>628669010033</v>
      </c>
      <c r="RYO378" t="str">
        <f>"0419671"</f>
        <v>0419671</v>
      </c>
      <c r="RYP378" t="s">
        <v>199</v>
      </c>
      <c r="RYQ378" t="s">
        <v>25</v>
      </c>
      <c r="RYR378">
        <v>24</v>
      </c>
      <c r="RYS378">
        <v>0.05</v>
      </c>
      <c r="RYT378">
        <v>1</v>
      </c>
      <c r="RYU378" t="s">
        <v>531</v>
      </c>
      <c r="RYV378" t="str">
        <f>"628669010033"</f>
        <v>628669010033</v>
      </c>
      <c r="RYW378" t="str">
        <f>"0419671"</f>
        <v>0419671</v>
      </c>
      <c r="RYX378" t="s">
        <v>199</v>
      </c>
      <c r="RYY378" t="s">
        <v>25</v>
      </c>
      <c r="RYZ378">
        <v>24</v>
      </c>
      <c r="RZA378">
        <v>0.05</v>
      </c>
      <c r="RZB378">
        <v>1</v>
      </c>
      <c r="RZC378" t="s">
        <v>531</v>
      </c>
      <c r="RZD378" t="str">
        <f>"628669010033"</f>
        <v>628669010033</v>
      </c>
      <c r="RZE378" t="str">
        <f>"0419671"</f>
        <v>0419671</v>
      </c>
      <c r="RZF378" t="s">
        <v>199</v>
      </c>
      <c r="RZG378" t="s">
        <v>25</v>
      </c>
      <c r="RZH378">
        <v>24</v>
      </c>
      <c r="RZI378">
        <v>0.05</v>
      </c>
      <c r="RZJ378">
        <v>1</v>
      </c>
      <c r="RZK378" t="s">
        <v>531</v>
      </c>
      <c r="RZL378" t="str">
        <f>"628669010033"</f>
        <v>628669010033</v>
      </c>
      <c r="RZM378" t="str">
        <f>"0419671"</f>
        <v>0419671</v>
      </c>
      <c r="RZN378" t="s">
        <v>199</v>
      </c>
      <c r="RZO378" t="s">
        <v>25</v>
      </c>
      <c r="RZP378">
        <v>24</v>
      </c>
      <c r="RZQ378">
        <v>0.05</v>
      </c>
      <c r="RZR378">
        <v>1</v>
      </c>
      <c r="RZS378" t="s">
        <v>531</v>
      </c>
      <c r="RZT378" t="str">
        <f>"628669010033"</f>
        <v>628669010033</v>
      </c>
      <c r="RZU378" t="str">
        <f>"0419671"</f>
        <v>0419671</v>
      </c>
      <c r="RZV378" t="s">
        <v>199</v>
      </c>
      <c r="RZW378" t="s">
        <v>25</v>
      </c>
      <c r="RZX378">
        <v>24</v>
      </c>
      <c r="RZY378">
        <v>0.05</v>
      </c>
      <c r="RZZ378">
        <v>1</v>
      </c>
      <c r="SAA378" t="s">
        <v>531</v>
      </c>
      <c r="SAB378" t="str">
        <f>"628669010033"</f>
        <v>628669010033</v>
      </c>
      <c r="SAC378" t="str">
        <f>"0419671"</f>
        <v>0419671</v>
      </c>
      <c r="SAD378" t="s">
        <v>199</v>
      </c>
      <c r="SAE378" t="s">
        <v>25</v>
      </c>
      <c r="SAF378">
        <v>24</v>
      </c>
      <c r="SAG378">
        <v>0.05</v>
      </c>
      <c r="SAH378">
        <v>1</v>
      </c>
      <c r="SAI378" t="s">
        <v>531</v>
      </c>
      <c r="SAJ378" t="str">
        <f>"628669010033"</f>
        <v>628669010033</v>
      </c>
      <c r="SAK378" t="str">
        <f>"0419671"</f>
        <v>0419671</v>
      </c>
      <c r="SAL378" t="s">
        <v>199</v>
      </c>
      <c r="SAM378" t="s">
        <v>25</v>
      </c>
      <c r="SAN378">
        <v>24</v>
      </c>
      <c r="SAO378">
        <v>0.05</v>
      </c>
      <c r="SAP378">
        <v>1</v>
      </c>
      <c r="SAQ378" t="s">
        <v>531</v>
      </c>
      <c r="SAR378" t="str">
        <f>"628669010033"</f>
        <v>628669010033</v>
      </c>
      <c r="SAS378" t="str">
        <f>"0419671"</f>
        <v>0419671</v>
      </c>
      <c r="SAT378" t="s">
        <v>199</v>
      </c>
      <c r="SAU378" t="s">
        <v>25</v>
      </c>
      <c r="SAV378">
        <v>24</v>
      </c>
      <c r="SAW378">
        <v>0.05</v>
      </c>
      <c r="SAX378">
        <v>1</v>
      </c>
      <c r="SAY378" t="s">
        <v>531</v>
      </c>
      <c r="SAZ378" t="str">
        <f>"628669010033"</f>
        <v>628669010033</v>
      </c>
      <c r="SBA378" t="str">
        <f>"0419671"</f>
        <v>0419671</v>
      </c>
      <c r="SBB378" t="s">
        <v>199</v>
      </c>
      <c r="SBC378" t="s">
        <v>25</v>
      </c>
      <c r="SBD378">
        <v>24</v>
      </c>
      <c r="SBE378">
        <v>0.05</v>
      </c>
      <c r="SBF378">
        <v>1</v>
      </c>
      <c r="SBG378" t="s">
        <v>531</v>
      </c>
      <c r="SBH378" t="str">
        <f>"628669010033"</f>
        <v>628669010033</v>
      </c>
      <c r="SBI378" t="str">
        <f>"0419671"</f>
        <v>0419671</v>
      </c>
      <c r="SBJ378" t="s">
        <v>199</v>
      </c>
      <c r="SBK378" t="s">
        <v>25</v>
      </c>
      <c r="SBL378">
        <v>24</v>
      </c>
      <c r="SBM378">
        <v>0.05</v>
      </c>
      <c r="SBN378">
        <v>1</v>
      </c>
      <c r="SBO378" t="s">
        <v>531</v>
      </c>
      <c r="SBP378" t="str">
        <f>"628669010033"</f>
        <v>628669010033</v>
      </c>
      <c r="SBQ378" t="str">
        <f>"0419671"</f>
        <v>0419671</v>
      </c>
      <c r="SBR378" t="s">
        <v>199</v>
      </c>
      <c r="SBS378" t="s">
        <v>25</v>
      </c>
      <c r="SBT378">
        <v>24</v>
      </c>
      <c r="SBU378">
        <v>0.05</v>
      </c>
      <c r="SBV378">
        <v>1</v>
      </c>
      <c r="SBW378" t="s">
        <v>531</v>
      </c>
      <c r="SBX378" t="str">
        <f>"628669010033"</f>
        <v>628669010033</v>
      </c>
      <c r="SBY378" t="str">
        <f>"0419671"</f>
        <v>0419671</v>
      </c>
      <c r="SBZ378" t="s">
        <v>199</v>
      </c>
      <c r="SCA378" t="s">
        <v>25</v>
      </c>
      <c r="SCB378">
        <v>24</v>
      </c>
      <c r="SCC378">
        <v>0.05</v>
      </c>
      <c r="SCD378">
        <v>1</v>
      </c>
      <c r="SCE378" t="s">
        <v>531</v>
      </c>
      <c r="SCF378" t="str">
        <f>"628669010033"</f>
        <v>628669010033</v>
      </c>
      <c r="SCG378" t="str">
        <f>"0419671"</f>
        <v>0419671</v>
      </c>
      <c r="SCH378" t="s">
        <v>199</v>
      </c>
      <c r="SCI378" t="s">
        <v>25</v>
      </c>
      <c r="SCJ378">
        <v>24</v>
      </c>
      <c r="SCK378">
        <v>0.05</v>
      </c>
      <c r="SCL378">
        <v>1</v>
      </c>
      <c r="SCM378" t="s">
        <v>531</v>
      </c>
      <c r="SCN378" t="str">
        <f>"628669010033"</f>
        <v>628669010033</v>
      </c>
      <c r="SCO378" t="str">
        <f>"0419671"</f>
        <v>0419671</v>
      </c>
      <c r="SCP378" t="s">
        <v>199</v>
      </c>
      <c r="SCQ378" t="s">
        <v>25</v>
      </c>
      <c r="SCR378">
        <v>24</v>
      </c>
      <c r="SCS378">
        <v>0.05</v>
      </c>
      <c r="SCT378">
        <v>1</v>
      </c>
      <c r="SCU378" t="s">
        <v>531</v>
      </c>
      <c r="SCV378" t="str">
        <f>"628669010033"</f>
        <v>628669010033</v>
      </c>
      <c r="SCW378" t="str">
        <f>"0419671"</f>
        <v>0419671</v>
      </c>
      <c r="SCX378" t="s">
        <v>199</v>
      </c>
      <c r="SCY378" t="s">
        <v>25</v>
      </c>
      <c r="SCZ378">
        <v>24</v>
      </c>
      <c r="SDA378">
        <v>0.05</v>
      </c>
      <c r="SDB378">
        <v>1</v>
      </c>
      <c r="SDC378" t="s">
        <v>531</v>
      </c>
      <c r="SDD378" t="str">
        <f>"628669010033"</f>
        <v>628669010033</v>
      </c>
      <c r="SDE378" t="str">
        <f>"0419671"</f>
        <v>0419671</v>
      </c>
      <c r="SDF378" t="s">
        <v>199</v>
      </c>
      <c r="SDG378" t="s">
        <v>25</v>
      </c>
      <c r="SDH378">
        <v>24</v>
      </c>
      <c r="SDI378">
        <v>0.05</v>
      </c>
      <c r="SDJ378">
        <v>1</v>
      </c>
      <c r="SDK378" t="s">
        <v>531</v>
      </c>
      <c r="SDL378" t="str">
        <f>"628669010033"</f>
        <v>628669010033</v>
      </c>
      <c r="SDM378" t="str">
        <f>"0419671"</f>
        <v>0419671</v>
      </c>
      <c r="SDN378" t="s">
        <v>199</v>
      </c>
      <c r="SDO378" t="s">
        <v>25</v>
      </c>
      <c r="SDP378">
        <v>24</v>
      </c>
      <c r="SDQ378">
        <v>0.05</v>
      </c>
      <c r="SDR378">
        <v>1</v>
      </c>
      <c r="SDS378" t="s">
        <v>531</v>
      </c>
      <c r="SDT378" t="str">
        <f>"628669010033"</f>
        <v>628669010033</v>
      </c>
      <c r="SDU378" t="str">
        <f>"0419671"</f>
        <v>0419671</v>
      </c>
      <c r="SDV378" t="s">
        <v>199</v>
      </c>
      <c r="SDW378" t="s">
        <v>25</v>
      </c>
      <c r="SDX378">
        <v>24</v>
      </c>
      <c r="SDY378">
        <v>0.05</v>
      </c>
      <c r="SDZ378">
        <v>1</v>
      </c>
      <c r="SEA378" t="s">
        <v>531</v>
      </c>
      <c r="SEB378" t="str">
        <f>"628669010033"</f>
        <v>628669010033</v>
      </c>
      <c r="SEC378" t="str">
        <f>"0419671"</f>
        <v>0419671</v>
      </c>
      <c r="SED378" t="s">
        <v>199</v>
      </c>
      <c r="SEE378" t="s">
        <v>25</v>
      </c>
      <c r="SEF378">
        <v>24</v>
      </c>
      <c r="SEG378">
        <v>0.05</v>
      </c>
      <c r="SEH378">
        <v>1</v>
      </c>
      <c r="SEI378" t="s">
        <v>531</v>
      </c>
      <c r="SEJ378" t="str">
        <f>"628669010033"</f>
        <v>628669010033</v>
      </c>
      <c r="SEK378" t="str">
        <f>"0419671"</f>
        <v>0419671</v>
      </c>
      <c r="SEL378" t="s">
        <v>199</v>
      </c>
      <c r="SEM378" t="s">
        <v>25</v>
      </c>
      <c r="SEN378">
        <v>24</v>
      </c>
      <c r="SEO378">
        <v>0.05</v>
      </c>
      <c r="SEP378">
        <v>1</v>
      </c>
      <c r="SEQ378" t="s">
        <v>531</v>
      </c>
      <c r="SER378" t="str">
        <f>"628669010033"</f>
        <v>628669010033</v>
      </c>
      <c r="SES378" t="str">
        <f>"0419671"</f>
        <v>0419671</v>
      </c>
      <c r="SET378" t="s">
        <v>199</v>
      </c>
      <c r="SEU378" t="s">
        <v>25</v>
      </c>
      <c r="SEV378">
        <v>24</v>
      </c>
      <c r="SEW378">
        <v>0.05</v>
      </c>
      <c r="SEX378">
        <v>1</v>
      </c>
      <c r="SEY378" t="s">
        <v>531</v>
      </c>
      <c r="SEZ378" t="str">
        <f>"628669010033"</f>
        <v>628669010033</v>
      </c>
      <c r="SFA378" t="str">
        <f>"0419671"</f>
        <v>0419671</v>
      </c>
      <c r="SFB378" t="s">
        <v>199</v>
      </c>
      <c r="SFC378" t="s">
        <v>25</v>
      </c>
      <c r="SFD378">
        <v>24</v>
      </c>
      <c r="SFE378">
        <v>0.05</v>
      </c>
      <c r="SFF378">
        <v>1</v>
      </c>
      <c r="SFG378" t="s">
        <v>531</v>
      </c>
      <c r="SFH378" t="str">
        <f>"628669010033"</f>
        <v>628669010033</v>
      </c>
      <c r="SFI378" t="str">
        <f>"0419671"</f>
        <v>0419671</v>
      </c>
      <c r="SFJ378" t="s">
        <v>199</v>
      </c>
      <c r="SFK378" t="s">
        <v>25</v>
      </c>
      <c r="SFL378">
        <v>24</v>
      </c>
      <c r="SFM378">
        <v>0.05</v>
      </c>
      <c r="SFN378">
        <v>1</v>
      </c>
      <c r="SFO378" t="s">
        <v>531</v>
      </c>
      <c r="SFP378" t="str">
        <f>"628669010033"</f>
        <v>628669010033</v>
      </c>
      <c r="SFQ378" t="str">
        <f>"0419671"</f>
        <v>0419671</v>
      </c>
      <c r="SFR378" t="s">
        <v>199</v>
      </c>
      <c r="SFS378" t="s">
        <v>25</v>
      </c>
      <c r="SFT378">
        <v>24</v>
      </c>
      <c r="SFU378">
        <v>0.05</v>
      </c>
      <c r="SFV378">
        <v>1</v>
      </c>
      <c r="SFW378" t="s">
        <v>531</v>
      </c>
      <c r="SFX378" t="str">
        <f>"628669010033"</f>
        <v>628669010033</v>
      </c>
      <c r="SFY378" t="str">
        <f>"0419671"</f>
        <v>0419671</v>
      </c>
      <c r="SFZ378" t="s">
        <v>199</v>
      </c>
      <c r="SGA378" t="s">
        <v>25</v>
      </c>
      <c r="SGB378">
        <v>24</v>
      </c>
      <c r="SGC378">
        <v>0.05</v>
      </c>
      <c r="SGD378">
        <v>1</v>
      </c>
      <c r="SGE378" t="s">
        <v>531</v>
      </c>
      <c r="SGF378" t="str">
        <f>"628669010033"</f>
        <v>628669010033</v>
      </c>
      <c r="SGG378" t="str">
        <f>"0419671"</f>
        <v>0419671</v>
      </c>
      <c r="SGH378" t="s">
        <v>199</v>
      </c>
      <c r="SGI378" t="s">
        <v>25</v>
      </c>
      <c r="SGJ378">
        <v>24</v>
      </c>
      <c r="SGK378">
        <v>0.05</v>
      </c>
      <c r="SGL378">
        <v>1</v>
      </c>
      <c r="SGM378" t="s">
        <v>531</v>
      </c>
      <c r="SGN378" t="str">
        <f>"628669010033"</f>
        <v>628669010033</v>
      </c>
      <c r="SGO378" t="str">
        <f>"0419671"</f>
        <v>0419671</v>
      </c>
      <c r="SGP378" t="s">
        <v>199</v>
      </c>
      <c r="SGQ378" t="s">
        <v>25</v>
      </c>
      <c r="SGR378">
        <v>24</v>
      </c>
      <c r="SGS378">
        <v>0.05</v>
      </c>
      <c r="SGT378">
        <v>1</v>
      </c>
      <c r="SGU378" t="s">
        <v>531</v>
      </c>
      <c r="SGV378" t="str">
        <f>"628669010033"</f>
        <v>628669010033</v>
      </c>
      <c r="SGW378" t="str">
        <f>"0419671"</f>
        <v>0419671</v>
      </c>
      <c r="SGX378" t="s">
        <v>199</v>
      </c>
      <c r="SGY378" t="s">
        <v>25</v>
      </c>
      <c r="SGZ378">
        <v>24</v>
      </c>
      <c r="SHA378">
        <v>0.05</v>
      </c>
      <c r="SHB378">
        <v>1</v>
      </c>
      <c r="SHC378" t="s">
        <v>531</v>
      </c>
      <c r="SHD378" t="str">
        <f>"628669010033"</f>
        <v>628669010033</v>
      </c>
      <c r="SHE378" t="str">
        <f>"0419671"</f>
        <v>0419671</v>
      </c>
      <c r="SHF378" t="s">
        <v>199</v>
      </c>
      <c r="SHG378" t="s">
        <v>25</v>
      </c>
      <c r="SHH378">
        <v>24</v>
      </c>
      <c r="SHI378">
        <v>0.05</v>
      </c>
      <c r="SHJ378">
        <v>1</v>
      </c>
      <c r="SHK378" t="s">
        <v>531</v>
      </c>
      <c r="SHL378" t="str">
        <f>"628669010033"</f>
        <v>628669010033</v>
      </c>
      <c r="SHM378" t="str">
        <f>"0419671"</f>
        <v>0419671</v>
      </c>
      <c r="SHN378" t="s">
        <v>199</v>
      </c>
      <c r="SHO378" t="s">
        <v>25</v>
      </c>
      <c r="SHP378">
        <v>24</v>
      </c>
      <c r="SHQ378">
        <v>0.05</v>
      </c>
      <c r="SHR378">
        <v>1</v>
      </c>
      <c r="SHS378" t="s">
        <v>531</v>
      </c>
      <c r="SHT378" t="str">
        <f>"628669010033"</f>
        <v>628669010033</v>
      </c>
      <c r="SHU378" t="str">
        <f>"0419671"</f>
        <v>0419671</v>
      </c>
      <c r="SHV378" t="s">
        <v>199</v>
      </c>
      <c r="SHW378" t="s">
        <v>25</v>
      </c>
      <c r="SHX378">
        <v>24</v>
      </c>
      <c r="SHY378">
        <v>0.05</v>
      </c>
      <c r="SHZ378">
        <v>1</v>
      </c>
      <c r="SIA378" t="s">
        <v>531</v>
      </c>
      <c r="SIB378" t="str">
        <f>"628669010033"</f>
        <v>628669010033</v>
      </c>
      <c r="SIC378" t="str">
        <f>"0419671"</f>
        <v>0419671</v>
      </c>
      <c r="SID378" t="s">
        <v>199</v>
      </c>
      <c r="SIE378" t="s">
        <v>25</v>
      </c>
      <c r="SIF378">
        <v>24</v>
      </c>
      <c r="SIG378">
        <v>0.05</v>
      </c>
      <c r="SIH378">
        <v>1</v>
      </c>
      <c r="SII378" t="s">
        <v>531</v>
      </c>
      <c r="SIJ378" t="str">
        <f>"628669010033"</f>
        <v>628669010033</v>
      </c>
      <c r="SIK378" t="str">
        <f>"0419671"</f>
        <v>0419671</v>
      </c>
      <c r="SIL378" t="s">
        <v>199</v>
      </c>
      <c r="SIM378" t="s">
        <v>25</v>
      </c>
      <c r="SIN378">
        <v>24</v>
      </c>
      <c r="SIO378">
        <v>0.05</v>
      </c>
      <c r="SIP378">
        <v>1</v>
      </c>
      <c r="SIQ378" t="s">
        <v>531</v>
      </c>
      <c r="SIR378" t="str">
        <f>"628669010033"</f>
        <v>628669010033</v>
      </c>
      <c r="SIS378" t="str">
        <f>"0419671"</f>
        <v>0419671</v>
      </c>
      <c r="SIT378" t="s">
        <v>199</v>
      </c>
      <c r="SIU378" t="s">
        <v>25</v>
      </c>
      <c r="SIV378">
        <v>24</v>
      </c>
      <c r="SIW378">
        <v>0.05</v>
      </c>
      <c r="SIX378">
        <v>1</v>
      </c>
      <c r="SIY378" t="s">
        <v>531</v>
      </c>
      <c r="SIZ378" t="str">
        <f>"628669010033"</f>
        <v>628669010033</v>
      </c>
      <c r="SJA378" t="str">
        <f>"0419671"</f>
        <v>0419671</v>
      </c>
      <c r="SJB378" t="s">
        <v>199</v>
      </c>
      <c r="SJC378" t="s">
        <v>25</v>
      </c>
      <c r="SJD378">
        <v>24</v>
      </c>
      <c r="SJE378">
        <v>0.05</v>
      </c>
      <c r="SJF378">
        <v>1</v>
      </c>
      <c r="SJG378" t="s">
        <v>531</v>
      </c>
      <c r="SJH378" t="str">
        <f>"628669010033"</f>
        <v>628669010033</v>
      </c>
      <c r="SJI378" t="str">
        <f>"0419671"</f>
        <v>0419671</v>
      </c>
      <c r="SJJ378" t="s">
        <v>199</v>
      </c>
      <c r="SJK378" t="s">
        <v>25</v>
      </c>
      <c r="SJL378">
        <v>24</v>
      </c>
      <c r="SJM378">
        <v>0.05</v>
      </c>
      <c r="SJN378">
        <v>1</v>
      </c>
      <c r="SJO378" t="s">
        <v>531</v>
      </c>
      <c r="SJP378" t="str">
        <f>"628669010033"</f>
        <v>628669010033</v>
      </c>
      <c r="SJQ378" t="str">
        <f>"0419671"</f>
        <v>0419671</v>
      </c>
      <c r="SJR378" t="s">
        <v>199</v>
      </c>
      <c r="SJS378" t="s">
        <v>25</v>
      </c>
      <c r="SJT378">
        <v>24</v>
      </c>
      <c r="SJU378">
        <v>0.05</v>
      </c>
      <c r="SJV378">
        <v>1</v>
      </c>
      <c r="SJW378" t="s">
        <v>531</v>
      </c>
      <c r="SJX378" t="str">
        <f>"628669010033"</f>
        <v>628669010033</v>
      </c>
      <c r="SJY378" t="str">
        <f>"0419671"</f>
        <v>0419671</v>
      </c>
      <c r="SJZ378" t="s">
        <v>199</v>
      </c>
      <c r="SKA378" t="s">
        <v>25</v>
      </c>
      <c r="SKB378">
        <v>24</v>
      </c>
      <c r="SKC378">
        <v>0.05</v>
      </c>
      <c r="SKD378">
        <v>1</v>
      </c>
      <c r="SKE378" t="s">
        <v>531</v>
      </c>
      <c r="SKF378" t="str">
        <f>"628669010033"</f>
        <v>628669010033</v>
      </c>
      <c r="SKG378" t="str">
        <f>"0419671"</f>
        <v>0419671</v>
      </c>
      <c r="SKH378" t="s">
        <v>199</v>
      </c>
      <c r="SKI378" t="s">
        <v>25</v>
      </c>
      <c r="SKJ378">
        <v>24</v>
      </c>
      <c r="SKK378">
        <v>0.05</v>
      </c>
      <c r="SKL378">
        <v>1</v>
      </c>
      <c r="SKM378" t="s">
        <v>531</v>
      </c>
      <c r="SKN378" t="str">
        <f>"628669010033"</f>
        <v>628669010033</v>
      </c>
      <c r="SKO378" t="str">
        <f>"0419671"</f>
        <v>0419671</v>
      </c>
      <c r="SKP378" t="s">
        <v>199</v>
      </c>
      <c r="SKQ378" t="s">
        <v>25</v>
      </c>
      <c r="SKR378">
        <v>24</v>
      </c>
      <c r="SKS378">
        <v>0.05</v>
      </c>
      <c r="SKT378">
        <v>1</v>
      </c>
      <c r="SKU378" t="s">
        <v>531</v>
      </c>
      <c r="SKV378" t="str">
        <f>"628669010033"</f>
        <v>628669010033</v>
      </c>
      <c r="SKW378" t="str">
        <f>"0419671"</f>
        <v>0419671</v>
      </c>
      <c r="SKX378" t="s">
        <v>199</v>
      </c>
      <c r="SKY378" t="s">
        <v>25</v>
      </c>
      <c r="SKZ378">
        <v>24</v>
      </c>
      <c r="SLA378">
        <v>0.05</v>
      </c>
      <c r="SLB378">
        <v>1</v>
      </c>
      <c r="SLC378" t="s">
        <v>531</v>
      </c>
      <c r="SLD378" t="str">
        <f>"628669010033"</f>
        <v>628669010033</v>
      </c>
      <c r="SLE378" t="str">
        <f>"0419671"</f>
        <v>0419671</v>
      </c>
      <c r="SLF378" t="s">
        <v>199</v>
      </c>
      <c r="SLG378" t="s">
        <v>25</v>
      </c>
      <c r="SLH378">
        <v>24</v>
      </c>
      <c r="SLI378">
        <v>0.05</v>
      </c>
      <c r="SLJ378">
        <v>1</v>
      </c>
      <c r="SLK378" t="s">
        <v>531</v>
      </c>
      <c r="SLL378" t="str">
        <f>"628669010033"</f>
        <v>628669010033</v>
      </c>
      <c r="SLM378" t="str">
        <f>"0419671"</f>
        <v>0419671</v>
      </c>
      <c r="SLN378" t="s">
        <v>199</v>
      </c>
      <c r="SLO378" t="s">
        <v>25</v>
      </c>
      <c r="SLP378">
        <v>24</v>
      </c>
      <c r="SLQ378">
        <v>0.05</v>
      </c>
      <c r="SLR378">
        <v>1</v>
      </c>
      <c r="SLS378" t="s">
        <v>531</v>
      </c>
      <c r="SLT378" t="str">
        <f>"628669010033"</f>
        <v>628669010033</v>
      </c>
      <c r="SLU378" t="str">
        <f>"0419671"</f>
        <v>0419671</v>
      </c>
      <c r="SLV378" t="s">
        <v>199</v>
      </c>
      <c r="SLW378" t="s">
        <v>25</v>
      </c>
      <c r="SLX378">
        <v>24</v>
      </c>
      <c r="SLY378">
        <v>0.05</v>
      </c>
      <c r="SLZ378">
        <v>1</v>
      </c>
      <c r="SMA378" t="s">
        <v>531</v>
      </c>
      <c r="SMB378" t="str">
        <f>"628669010033"</f>
        <v>628669010033</v>
      </c>
      <c r="SMC378" t="str">
        <f>"0419671"</f>
        <v>0419671</v>
      </c>
      <c r="SMD378" t="s">
        <v>199</v>
      </c>
      <c r="SME378" t="s">
        <v>25</v>
      </c>
      <c r="SMF378">
        <v>24</v>
      </c>
      <c r="SMG378">
        <v>0.05</v>
      </c>
      <c r="SMH378">
        <v>1</v>
      </c>
      <c r="SMI378" t="s">
        <v>531</v>
      </c>
      <c r="SMJ378" t="str">
        <f>"628669010033"</f>
        <v>628669010033</v>
      </c>
      <c r="SMK378" t="str">
        <f>"0419671"</f>
        <v>0419671</v>
      </c>
      <c r="SML378" t="s">
        <v>199</v>
      </c>
      <c r="SMM378" t="s">
        <v>25</v>
      </c>
      <c r="SMN378">
        <v>24</v>
      </c>
      <c r="SMO378">
        <v>0.05</v>
      </c>
      <c r="SMP378">
        <v>1</v>
      </c>
      <c r="SMQ378" t="s">
        <v>531</v>
      </c>
      <c r="SMR378" t="str">
        <f>"628669010033"</f>
        <v>628669010033</v>
      </c>
      <c r="SMS378" t="str">
        <f>"0419671"</f>
        <v>0419671</v>
      </c>
      <c r="SMT378" t="s">
        <v>199</v>
      </c>
      <c r="SMU378" t="s">
        <v>25</v>
      </c>
      <c r="SMV378">
        <v>24</v>
      </c>
      <c r="SMW378">
        <v>0.05</v>
      </c>
      <c r="SMX378">
        <v>1</v>
      </c>
      <c r="SMY378" t="s">
        <v>531</v>
      </c>
      <c r="SMZ378" t="str">
        <f>"628669010033"</f>
        <v>628669010033</v>
      </c>
      <c r="SNA378" t="str">
        <f>"0419671"</f>
        <v>0419671</v>
      </c>
      <c r="SNB378" t="s">
        <v>199</v>
      </c>
      <c r="SNC378" t="s">
        <v>25</v>
      </c>
      <c r="SND378">
        <v>24</v>
      </c>
      <c r="SNE378">
        <v>0.05</v>
      </c>
      <c r="SNF378">
        <v>1</v>
      </c>
      <c r="SNG378" t="s">
        <v>531</v>
      </c>
      <c r="SNH378" t="str">
        <f>"628669010033"</f>
        <v>628669010033</v>
      </c>
      <c r="SNI378" t="str">
        <f>"0419671"</f>
        <v>0419671</v>
      </c>
      <c r="SNJ378" t="s">
        <v>199</v>
      </c>
      <c r="SNK378" t="s">
        <v>25</v>
      </c>
      <c r="SNL378">
        <v>24</v>
      </c>
      <c r="SNM378">
        <v>0.05</v>
      </c>
      <c r="SNN378">
        <v>1</v>
      </c>
      <c r="SNO378" t="s">
        <v>531</v>
      </c>
      <c r="SNP378" t="str">
        <f>"628669010033"</f>
        <v>628669010033</v>
      </c>
      <c r="SNQ378" t="str">
        <f>"0419671"</f>
        <v>0419671</v>
      </c>
      <c r="SNR378" t="s">
        <v>199</v>
      </c>
      <c r="SNS378" t="s">
        <v>25</v>
      </c>
      <c r="SNT378">
        <v>24</v>
      </c>
      <c r="SNU378">
        <v>0.05</v>
      </c>
      <c r="SNV378">
        <v>1</v>
      </c>
      <c r="SNW378" t="s">
        <v>531</v>
      </c>
      <c r="SNX378" t="str">
        <f>"628669010033"</f>
        <v>628669010033</v>
      </c>
      <c r="SNY378" t="str">
        <f>"0419671"</f>
        <v>0419671</v>
      </c>
      <c r="SNZ378" t="s">
        <v>199</v>
      </c>
      <c r="SOA378" t="s">
        <v>25</v>
      </c>
      <c r="SOB378">
        <v>24</v>
      </c>
      <c r="SOC378">
        <v>0.05</v>
      </c>
      <c r="SOD378">
        <v>1</v>
      </c>
      <c r="SOE378" t="s">
        <v>531</v>
      </c>
      <c r="SOF378" t="str">
        <f>"628669010033"</f>
        <v>628669010033</v>
      </c>
      <c r="SOG378" t="str">
        <f>"0419671"</f>
        <v>0419671</v>
      </c>
      <c r="SOH378" t="s">
        <v>199</v>
      </c>
      <c r="SOI378" t="s">
        <v>25</v>
      </c>
      <c r="SOJ378">
        <v>24</v>
      </c>
      <c r="SOK378">
        <v>0.05</v>
      </c>
      <c r="SOL378">
        <v>1</v>
      </c>
      <c r="SOM378" t="s">
        <v>531</v>
      </c>
      <c r="SON378" t="str">
        <f>"628669010033"</f>
        <v>628669010033</v>
      </c>
      <c r="SOO378" t="str">
        <f>"0419671"</f>
        <v>0419671</v>
      </c>
      <c r="SOP378" t="s">
        <v>199</v>
      </c>
      <c r="SOQ378" t="s">
        <v>25</v>
      </c>
      <c r="SOR378">
        <v>24</v>
      </c>
      <c r="SOS378">
        <v>0.05</v>
      </c>
      <c r="SOT378">
        <v>1</v>
      </c>
      <c r="SOU378" t="s">
        <v>531</v>
      </c>
      <c r="SOV378" t="str">
        <f>"628669010033"</f>
        <v>628669010033</v>
      </c>
      <c r="SOW378" t="str">
        <f>"0419671"</f>
        <v>0419671</v>
      </c>
      <c r="SOX378" t="s">
        <v>199</v>
      </c>
      <c r="SOY378" t="s">
        <v>25</v>
      </c>
      <c r="SOZ378">
        <v>24</v>
      </c>
      <c r="SPA378">
        <v>0.05</v>
      </c>
      <c r="SPB378">
        <v>1</v>
      </c>
      <c r="SPC378" t="s">
        <v>531</v>
      </c>
      <c r="SPD378" t="str">
        <f>"628669010033"</f>
        <v>628669010033</v>
      </c>
      <c r="SPE378" t="str">
        <f>"0419671"</f>
        <v>0419671</v>
      </c>
      <c r="SPF378" t="s">
        <v>199</v>
      </c>
      <c r="SPG378" t="s">
        <v>25</v>
      </c>
      <c r="SPH378">
        <v>24</v>
      </c>
      <c r="SPI378">
        <v>0.05</v>
      </c>
      <c r="SPJ378">
        <v>1</v>
      </c>
      <c r="SPK378" t="s">
        <v>531</v>
      </c>
      <c r="SPL378" t="str">
        <f>"628669010033"</f>
        <v>628669010033</v>
      </c>
      <c r="SPM378" t="str">
        <f>"0419671"</f>
        <v>0419671</v>
      </c>
      <c r="SPN378" t="s">
        <v>199</v>
      </c>
      <c r="SPO378" t="s">
        <v>25</v>
      </c>
      <c r="SPP378">
        <v>24</v>
      </c>
      <c r="SPQ378">
        <v>0.05</v>
      </c>
      <c r="SPR378">
        <v>1</v>
      </c>
      <c r="SPS378" t="s">
        <v>531</v>
      </c>
      <c r="SPT378" t="str">
        <f>"628669010033"</f>
        <v>628669010033</v>
      </c>
      <c r="SPU378" t="str">
        <f>"0419671"</f>
        <v>0419671</v>
      </c>
      <c r="SPV378" t="s">
        <v>199</v>
      </c>
      <c r="SPW378" t="s">
        <v>25</v>
      </c>
      <c r="SPX378">
        <v>24</v>
      </c>
      <c r="SPY378">
        <v>0.05</v>
      </c>
      <c r="SPZ378">
        <v>1</v>
      </c>
      <c r="SQA378" t="s">
        <v>531</v>
      </c>
      <c r="SQB378" t="str">
        <f>"628669010033"</f>
        <v>628669010033</v>
      </c>
      <c r="SQC378" t="str">
        <f>"0419671"</f>
        <v>0419671</v>
      </c>
      <c r="SQD378" t="s">
        <v>199</v>
      </c>
      <c r="SQE378" t="s">
        <v>25</v>
      </c>
      <c r="SQF378">
        <v>24</v>
      </c>
      <c r="SQG378">
        <v>0.05</v>
      </c>
      <c r="SQH378">
        <v>1</v>
      </c>
      <c r="SQI378" t="s">
        <v>531</v>
      </c>
      <c r="SQJ378" t="str">
        <f>"628669010033"</f>
        <v>628669010033</v>
      </c>
      <c r="SQK378" t="str">
        <f>"0419671"</f>
        <v>0419671</v>
      </c>
      <c r="SQL378" t="s">
        <v>199</v>
      </c>
      <c r="SQM378" t="s">
        <v>25</v>
      </c>
      <c r="SQN378">
        <v>24</v>
      </c>
      <c r="SQO378">
        <v>0.05</v>
      </c>
      <c r="SQP378">
        <v>1</v>
      </c>
      <c r="SQQ378" t="s">
        <v>531</v>
      </c>
      <c r="SQR378" t="str">
        <f>"628669010033"</f>
        <v>628669010033</v>
      </c>
      <c r="SQS378" t="str">
        <f>"0419671"</f>
        <v>0419671</v>
      </c>
      <c r="SQT378" t="s">
        <v>199</v>
      </c>
      <c r="SQU378" t="s">
        <v>25</v>
      </c>
      <c r="SQV378">
        <v>24</v>
      </c>
      <c r="SQW378">
        <v>0.05</v>
      </c>
      <c r="SQX378">
        <v>1</v>
      </c>
      <c r="SQY378" t="s">
        <v>531</v>
      </c>
      <c r="SQZ378" t="str">
        <f>"628669010033"</f>
        <v>628669010033</v>
      </c>
      <c r="SRA378" t="str">
        <f>"0419671"</f>
        <v>0419671</v>
      </c>
      <c r="SRB378" t="s">
        <v>199</v>
      </c>
      <c r="SRC378" t="s">
        <v>25</v>
      </c>
      <c r="SRD378">
        <v>24</v>
      </c>
      <c r="SRE378">
        <v>0.05</v>
      </c>
      <c r="SRF378">
        <v>1</v>
      </c>
      <c r="SRG378" t="s">
        <v>531</v>
      </c>
      <c r="SRH378" t="str">
        <f>"628669010033"</f>
        <v>628669010033</v>
      </c>
      <c r="SRI378" t="str">
        <f>"0419671"</f>
        <v>0419671</v>
      </c>
      <c r="SRJ378" t="s">
        <v>199</v>
      </c>
      <c r="SRK378" t="s">
        <v>25</v>
      </c>
      <c r="SRL378">
        <v>24</v>
      </c>
      <c r="SRM378">
        <v>0.05</v>
      </c>
      <c r="SRN378">
        <v>1</v>
      </c>
      <c r="SRO378" t="s">
        <v>531</v>
      </c>
      <c r="SRP378" t="str">
        <f>"628669010033"</f>
        <v>628669010033</v>
      </c>
      <c r="SRQ378" t="str">
        <f>"0419671"</f>
        <v>0419671</v>
      </c>
      <c r="SRR378" t="s">
        <v>199</v>
      </c>
      <c r="SRS378" t="s">
        <v>25</v>
      </c>
      <c r="SRT378">
        <v>24</v>
      </c>
      <c r="SRU378">
        <v>0.05</v>
      </c>
      <c r="SRV378">
        <v>1</v>
      </c>
      <c r="SRW378" t="s">
        <v>531</v>
      </c>
      <c r="SRX378" t="str">
        <f>"628669010033"</f>
        <v>628669010033</v>
      </c>
      <c r="SRY378" t="str">
        <f>"0419671"</f>
        <v>0419671</v>
      </c>
      <c r="SRZ378" t="s">
        <v>199</v>
      </c>
      <c r="SSA378" t="s">
        <v>25</v>
      </c>
      <c r="SSB378">
        <v>24</v>
      </c>
      <c r="SSC378">
        <v>0.05</v>
      </c>
      <c r="SSD378">
        <v>1</v>
      </c>
      <c r="SSE378" t="s">
        <v>531</v>
      </c>
      <c r="SSF378" t="str">
        <f>"628669010033"</f>
        <v>628669010033</v>
      </c>
      <c r="SSG378" t="str">
        <f>"0419671"</f>
        <v>0419671</v>
      </c>
      <c r="SSH378" t="s">
        <v>199</v>
      </c>
      <c r="SSI378" t="s">
        <v>25</v>
      </c>
      <c r="SSJ378">
        <v>24</v>
      </c>
      <c r="SSK378">
        <v>0.05</v>
      </c>
      <c r="SSL378">
        <v>1</v>
      </c>
      <c r="SSM378" t="s">
        <v>531</v>
      </c>
      <c r="SSN378" t="str">
        <f>"628669010033"</f>
        <v>628669010033</v>
      </c>
      <c r="SSO378" t="str">
        <f>"0419671"</f>
        <v>0419671</v>
      </c>
      <c r="SSP378" t="s">
        <v>199</v>
      </c>
      <c r="SSQ378" t="s">
        <v>25</v>
      </c>
      <c r="SSR378">
        <v>24</v>
      </c>
      <c r="SSS378">
        <v>0.05</v>
      </c>
      <c r="SST378">
        <v>1</v>
      </c>
      <c r="SSU378" t="s">
        <v>531</v>
      </c>
      <c r="SSV378" t="str">
        <f>"628669010033"</f>
        <v>628669010033</v>
      </c>
      <c r="SSW378" t="str">
        <f>"0419671"</f>
        <v>0419671</v>
      </c>
      <c r="SSX378" t="s">
        <v>199</v>
      </c>
      <c r="SSY378" t="s">
        <v>25</v>
      </c>
      <c r="SSZ378">
        <v>24</v>
      </c>
      <c r="STA378">
        <v>0.05</v>
      </c>
      <c r="STB378">
        <v>1</v>
      </c>
      <c r="STC378" t="s">
        <v>531</v>
      </c>
      <c r="STD378" t="str">
        <f>"628669010033"</f>
        <v>628669010033</v>
      </c>
      <c r="STE378" t="str">
        <f>"0419671"</f>
        <v>0419671</v>
      </c>
      <c r="STF378" t="s">
        <v>199</v>
      </c>
      <c r="STG378" t="s">
        <v>25</v>
      </c>
      <c r="STH378">
        <v>24</v>
      </c>
      <c r="STI378">
        <v>0.05</v>
      </c>
      <c r="STJ378">
        <v>1</v>
      </c>
      <c r="STK378" t="s">
        <v>531</v>
      </c>
      <c r="STL378" t="str">
        <f>"628669010033"</f>
        <v>628669010033</v>
      </c>
      <c r="STM378" t="str">
        <f>"0419671"</f>
        <v>0419671</v>
      </c>
      <c r="STN378" t="s">
        <v>199</v>
      </c>
      <c r="STO378" t="s">
        <v>25</v>
      </c>
      <c r="STP378">
        <v>24</v>
      </c>
      <c r="STQ378">
        <v>0.05</v>
      </c>
      <c r="STR378">
        <v>1</v>
      </c>
      <c r="STS378" t="s">
        <v>531</v>
      </c>
      <c r="STT378" t="str">
        <f>"628669010033"</f>
        <v>628669010033</v>
      </c>
      <c r="STU378" t="str">
        <f>"0419671"</f>
        <v>0419671</v>
      </c>
      <c r="STV378" t="s">
        <v>199</v>
      </c>
      <c r="STW378" t="s">
        <v>25</v>
      </c>
      <c r="STX378">
        <v>24</v>
      </c>
      <c r="STY378">
        <v>0.05</v>
      </c>
      <c r="STZ378">
        <v>1</v>
      </c>
      <c r="SUA378" t="s">
        <v>531</v>
      </c>
      <c r="SUB378" t="str">
        <f>"628669010033"</f>
        <v>628669010033</v>
      </c>
      <c r="SUC378" t="str">
        <f>"0419671"</f>
        <v>0419671</v>
      </c>
      <c r="SUD378" t="s">
        <v>199</v>
      </c>
      <c r="SUE378" t="s">
        <v>25</v>
      </c>
      <c r="SUF378">
        <v>24</v>
      </c>
      <c r="SUG378">
        <v>0.05</v>
      </c>
      <c r="SUH378">
        <v>1</v>
      </c>
      <c r="SUI378" t="s">
        <v>531</v>
      </c>
      <c r="SUJ378" t="str">
        <f>"628669010033"</f>
        <v>628669010033</v>
      </c>
      <c r="SUK378" t="str">
        <f>"0419671"</f>
        <v>0419671</v>
      </c>
      <c r="SUL378" t="s">
        <v>199</v>
      </c>
      <c r="SUM378" t="s">
        <v>25</v>
      </c>
      <c r="SUN378">
        <v>24</v>
      </c>
      <c r="SUO378">
        <v>0.05</v>
      </c>
      <c r="SUP378">
        <v>1</v>
      </c>
      <c r="SUQ378" t="s">
        <v>531</v>
      </c>
      <c r="SUR378" t="str">
        <f>"628669010033"</f>
        <v>628669010033</v>
      </c>
      <c r="SUS378" t="str">
        <f>"0419671"</f>
        <v>0419671</v>
      </c>
      <c r="SUT378" t="s">
        <v>199</v>
      </c>
      <c r="SUU378" t="s">
        <v>25</v>
      </c>
      <c r="SUV378">
        <v>24</v>
      </c>
      <c r="SUW378">
        <v>0.05</v>
      </c>
      <c r="SUX378">
        <v>1</v>
      </c>
      <c r="SUY378" t="s">
        <v>531</v>
      </c>
      <c r="SUZ378" t="str">
        <f>"628669010033"</f>
        <v>628669010033</v>
      </c>
      <c r="SVA378" t="str">
        <f>"0419671"</f>
        <v>0419671</v>
      </c>
      <c r="SVB378" t="s">
        <v>199</v>
      </c>
      <c r="SVC378" t="s">
        <v>25</v>
      </c>
      <c r="SVD378">
        <v>24</v>
      </c>
      <c r="SVE378">
        <v>0.05</v>
      </c>
      <c r="SVF378">
        <v>1</v>
      </c>
      <c r="SVG378" t="s">
        <v>531</v>
      </c>
      <c r="SVH378" t="str">
        <f>"628669010033"</f>
        <v>628669010033</v>
      </c>
      <c r="SVI378" t="str">
        <f>"0419671"</f>
        <v>0419671</v>
      </c>
      <c r="SVJ378" t="s">
        <v>199</v>
      </c>
      <c r="SVK378" t="s">
        <v>25</v>
      </c>
      <c r="SVL378">
        <v>24</v>
      </c>
      <c r="SVM378">
        <v>0.05</v>
      </c>
      <c r="SVN378">
        <v>1</v>
      </c>
      <c r="SVO378" t="s">
        <v>531</v>
      </c>
      <c r="SVP378" t="str">
        <f>"628669010033"</f>
        <v>628669010033</v>
      </c>
      <c r="SVQ378" t="str">
        <f>"0419671"</f>
        <v>0419671</v>
      </c>
      <c r="SVR378" t="s">
        <v>199</v>
      </c>
      <c r="SVS378" t="s">
        <v>25</v>
      </c>
      <c r="SVT378">
        <v>24</v>
      </c>
      <c r="SVU378">
        <v>0.05</v>
      </c>
      <c r="SVV378">
        <v>1</v>
      </c>
      <c r="SVW378" t="s">
        <v>531</v>
      </c>
      <c r="SVX378" t="str">
        <f>"628669010033"</f>
        <v>628669010033</v>
      </c>
      <c r="SVY378" t="str">
        <f>"0419671"</f>
        <v>0419671</v>
      </c>
      <c r="SVZ378" t="s">
        <v>199</v>
      </c>
      <c r="SWA378" t="s">
        <v>25</v>
      </c>
      <c r="SWB378">
        <v>24</v>
      </c>
      <c r="SWC378">
        <v>0.05</v>
      </c>
      <c r="SWD378">
        <v>1</v>
      </c>
      <c r="SWE378" t="s">
        <v>531</v>
      </c>
      <c r="SWF378" t="str">
        <f>"628669010033"</f>
        <v>628669010033</v>
      </c>
      <c r="SWG378" t="str">
        <f>"0419671"</f>
        <v>0419671</v>
      </c>
      <c r="SWH378" t="s">
        <v>199</v>
      </c>
      <c r="SWI378" t="s">
        <v>25</v>
      </c>
      <c r="SWJ378">
        <v>24</v>
      </c>
      <c r="SWK378">
        <v>0.05</v>
      </c>
      <c r="SWL378">
        <v>1</v>
      </c>
      <c r="SWM378" t="s">
        <v>531</v>
      </c>
      <c r="SWN378" t="str">
        <f>"628669010033"</f>
        <v>628669010033</v>
      </c>
      <c r="SWO378" t="str">
        <f>"0419671"</f>
        <v>0419671</v>
      </c>
      <c r="SWP378" t="s">
        <v>199</v>
      </c>
      <c r="SWQ378" t="s">
        <v>25</v>
      </c>
      <c r="SWR378">
        <v>24</v>
      </c>
      <c r="SWS378">
        <v>0.05</v>
      </c>
      <c r="SWT378">
        <v>1</v>
      </c>
      <c r="SWU378" t="s">
        <v>531</v>
      </c>
      <c r="SWV378" t="str">
        <f>"628669010033"</f>
        <v>628669010033</v>
      </c>
      <c r="SWW378" t="str">
        <f>"0419671"</f>
        <v>0419671</v>
      </c>
      <c r="SWX378" t="s">
        <v>199</v>
      </c>
      <c r="SWY378" t="s">
        <v>25</v>
      </c>
      <c r="SWZ378">
        <v>24</v>
      </c>
      <c r="SXA378">
        <v>0.05</v>
      </c>
      <c r="SXB378">
        <v>1</v>
      </c>
      <c r="SXC378" t="s">
        <v>531</v>
      </c>
      <c r="SXD378" t="str">
        <f>"628669010033"</f>
        <v>628669010033</v>
      </c>
      <c r="SXE378" t="str">
        <f>"0419671"</f>
        <v>0419671</v>
      </c>
      <c r="SXF378" t="s">
        <v>199</v>
      </c>
      <c r="SXG378" t="s">
        <v>25</v>
      </c>
      <c r="SXH378">
        <v>24</v>
      </c>
      <c r="SXI378">
        <v>0.05</v>
      </c>
      <c r="SXJ378">
        <v>1</v>
      </c>
      <c r="SXK378" t="s">
        <v>531</v>
      </c>
      <c r="SXL378" t="str">
        <f>"628669010033"</f>
        <v>628669010033</v>
      </c>
      <c r="SXM378" t="str">
        <f>"0419671"</f>
        <v>0419671</v>
      </c>
      <c r="SXN378" t="s">
        <v>199</v>
      </c>
      <c r="SXO378" t="s">
        <v>25</v>
      </c>
      <c r="SXP378">
        <v>24</v>
      </c>
      <c r="SXQ378">
        <v>0.05</v>
      </c>
      <c r="SXR378">
        <v>1</v>
      </c>
      <c r="SXS378" t="s">
        <v>531</v>
      </c>
      <c r="SXT378" t="str">
        <f>"628669010033"</f>
        <v>628669010033</v>
      </c>
      <c r="SXU378" t="str">
        <f>"0419671"</f>
        <v>0419671</v>
      </c>
      <c r="SXV378" t="s">
        <v>199</v>
      </c>
      <c r="SXW378" t="s">
        <v>25</v>
      </c>
      <c r="SXX378">
        <v>24</v>
      </c>
      <c r="SXY378">
        <v>0.05</v>
      </c>
      <c r="SXZ378">
        <v>1</v>
      </c>
      <c r="SYA378" t="s">
        <v>531</v>
      </c>
      <c r="SYB378" t="str">
        <f>"628669010033"</f>
        <v>628669010033</v>
      </c>
      <c r="SYC378" t="str">
        <f>"0419671"</f>
        <v>0419671</v>
      </c>
      <c r="SYD378" t="s">
        <v>199</v>
      </c>
      <c r="SYE378" t="s">
        <v>25</v>
      </c>
      <c r="SYF378">
        <v>24</v>
      </c>
      <c r="SYG378">
        <v>0.05</v>
      </c>
      <c r="SYH378">
        <v>1</v>
      </c>
      <c r="SYI378" t="s">
        <v>531</v>
      </c>
      <c r="SYJ378" t="str">
        <f>"628669010033"</f>
        <v>628669010033</v>
      </c>
      <c r="SYK378" t="str">
        <f>"0419671"</f>
        <v>0419671</v>
      </c>
      <c r="SYL378" t="s">
        <v>199</v>
      </c>
      <c r="SYM378" t="s">
        <v>25</v>
      </c>
      <c r="SYN378">
        <v>24</v>
      </c>
      <c r="SYO378">
        <v>0.05</v>
      </c>
      <c r="SYP378">
        <v>1</v>
      </c>
      <c r="SYQ378" t="s">
        <v>531</v>
      </c>
      <c r="SYR378" t="str">
        <f>"628669010033"</f>
        <v>628669010033</v>
      </c>
      <c r="SYS378" t="str">
        <f>"0419671"</f>
        <v>0419671</v>
      </c>
      <c r="SYT378" t="s">
        <v>199</v>
      </c>
      <c r="SYU378" t="s">
        <v>25</v>
      </c>
      <c r="SYV378">
        <v>24</v>
      </c>
      <c r="SYW378">
        <v>0.05</v>
      </c>
      <c r="SYX378">
        <v>1</v>
      </c>
      <c r="SYY378" t="s">
        <v>531</v>
      </c>
      <c r="SYZ378" t="str">
        <f>"628669010033"</f>
        <v>628669010033</v>
      </c>
      <c r="SZA378" t="str">
        <f>"0419671"</f>
        <v>0419671</v>
      </c>
      <c r="SZB378" t="s">
        <v>199</v>
      </c>
      <c r="SZC378" t="s">
        <v>25</v>
      </c>
      <c r="SZD378">
        <v>24</v>
      </c>
      <c r="SZE378">
        <v>0.05</v>
      </c>
      <c r="SZF378">
        <v>1</v>
      </c>
      <c r="SZG378" t="s">
        <v>531</v>
      </c>
      <c r="SZH378" t="str">
        <f>"628669010033"</f>
        <v>628669010033</v>
      </c>
      <c r="SZI378" t="str">
        <f>"0419671"</f>
        <v>0419671</v>
      </c>
      <c r="SZJ378" t="s">
        <v>199</v>
      </c>
      <c r="SZK378" t="s">
        <v>25</v>
      </c>
      <c r="SZL378">
        <v>24</v>
      </c>
      <c r="SZM378">
        <v>0.05</v>
      </c>
      <c r="SZN378">
        <v>1</v>
      </c>
      <c r="SZO378" t="s">
        <v>531</v>
      </c>
      <c r="SZP378" t="str">
        <f>"628669010033"</f>
        <v>628669010033</v>
      </c>
      <c r="SZQ378" t="str">
        <f>"0419671"</f>
        <v>0419671</v>
      </c>
      <c r="SZR378" t="s">
        <v>199</v>
      </c>
      <c r="SZS378" t="s">
        <v>25</v>
      </c>
      <c r="SZT378">
        <v>24</v>
      </c>
      <c r="SZU378">
        <v>0.05</v>
      </c>
      <c r="SZV378">
        <v>1</v>
      </c>
      <c r="SZW378" t="s">
        <v>531</v>
      </c>
      <c r="SZX378" t="str">
        <f>"628669010033"</f>
        <v>628669010033</v>
      </c>
      <c r="SZY378" t="str">
        <f>"0419671"</f>
        <v>0419671</v>
      </c>
      <c r="SZZ378" t="s">
        <v>199</v>
      </c>
      <c r="TAA378" t="s">
        <v>25</v>
      </c>
      <c r="TAB378">
        <v>24</v>
      </c>
      <c r="TAC378">
        <v>0.05</v>
      </c>
      <c r="TAD378">
        <v>1</v>
      </c>
      <c r="TAE378" t="s">
        <v>531</v>
      </c>
      <c r="TAF378" t="str">
        <f>"628669010033"</f>
        <v>628669010033</v>
      </c>
      <c r="TAG378" t="str">
        <f>"0419671"</f>
        <v>0419671</v>
      </c>
      <c r="TAH378" t="s">
        <v>199</v>
      </c>
      <c r="TAI378" t="s">
        <v>25</v>
      </c>
      <c r="TAJ378">
        <v>24</v>
      </c>
      <c r="TAK378">
        <v>0.05</v>
      </c>
      <c r="TAL378">
        <v>1</v>
      </c>
      <c r="TAM378" t="s">
        <v>531</v>
      </c>
      <c r="TAN378" t="str">
        <f>"628669010033"</f>
        <v>628669010033</v>
      </c>
      <c r="TAO378" t="str">
        <f>"0419671"</f>
        <v>0419671</v>
      </c>
      <c r="TAP378" t="s">
        <v>199</v>
      </c>
      <c r="TAQ378" t="s">
        <v>25</v>
      </c>
      <c r="TAR378">
        <v>24</v>
      </c>
      <c r="TAS378">
        <v>0.05</v>
      </c>
      <c r="TAT378">
        <v>1</v>
      </c>
      <c r="TAU378" t="s">
        <v>531</v>
      </c>
      <c r="TAV378" t="str">
        <f>"628669010033"</f>
        <v>628669010033</v>
      </c>
      <c r="TAW378" t="str">
        <f>"0419671"</f>
        <v>0419671</v>
      </c>
      <c r="TAX378" t="s">
        <v>199</v>
      </c>
      <c r="TAY378" t="s">
        <v>25</v>
      </c>
      <c r="TAZ378">
        <v>24</v>
      </c>
      <c r="TBA378">
        <v>0.05</v>
      </c>
      <c r="TBB378">
        <v>1</v>
      </c>
      <c r="TBC378" t="s">
        <v>531</v>
      </c>
      <c r="TBD378" t="str">
        <f>"628669010033"</f>
        <v>628669010033</v>
      </c>
      <c r="TBE378" t="str">
        <f>"0419671"</f>
        <v>0419671</v>
      </c>
      <c r="TBF378" t="s">
        <v>199</v>
      </c>
      <c r="TBG378" t="s">
        <v>25</v>
      </c>
      <c r="TBH378">
        <v>24</v>
      </c>
      <c r="TBI378">
        <v>0.05</v>
      </c>
      <c r="TBJ378">
        <v>1</v>
      </c>
      <c r="TBK378" t="s">
        <v>531</v>
      </c>
      <c r="TBL378" t="str">
        <f>"628669010033"</f>
        <v>628669010033</v>
      </c>
      <c r="TBM378" t="str">
        <f>"0419671"</f>
        <v>0419671</v>
      </c>
      <c r="TBN378" t="s">
        <v>199</v>
      </c>
      <c r="TBO378" t="s">
        <v>25</v>
      </c>
      <c r="TBP378">
        <v>24</v>
      </c>
      <c r="TBQ378">
        <v>0.05</v>
      </c>
      <c r="TBR378">
        <v>1</v>
      </c>
      <c r="TBS378" t="s">
        <v>531</v>
      </c>
      <c r="TBT378" t="str">
        <f>"628669010033"</f>
        <v>628669010033</v>
      </c>
      <c r="TBU378" t="str">
        <f>"0419671"</f>
        <v>0419671</v>
      </c>
      <c r="TBV378" t="s">
        <v>199</v>
      </c>
      <c r="TBW378" t="s">
        <v>25</v>
      </c>
      <c r="TBX378">
        <v>24</v>
      </c>
      <c r="TBY378">
        <v>0.05</v>
      </c>
      <c r="TBZ378">
        <v>1</v>
      </c>
      <c r="TCA378" t="s">
        <v>531</v>
      </c>
      <c r="TCB378" t="str">
        <f>"628669010033"</f>
        <v>628669010033</v>
      </c>
      <c r="TCC378" t="str">
        <f>"0419671"</f>
        <v>0419671</v>
      </c>
      <c r="TCD378" t="s">
        <v>199</v>
      </c>
      <c r="TCE378" t="s">
        <v>25</v>
      </c>
      <c r="TCF378">
        <v>24</v>
      </c>
      <c r="TCG378">
        <v>0.05</v>
      </c>
      <c r="TCH378">
        <v>1</v>
      </c>
      <c r="TCI378" t="s">
        <v>531</v>
      </c>
      <c r="TCJ378" t="str">
        <f>"628669010033"</f>
        <v>628669010033</v>
      </c>
      <c r="TCK378" t="str">
        <f>"0419671"</f>
        <v>0419671</v>
      </c>
      <c r="TCL378" t="s">
        <v>199</v>
      </c>
      <c r="TCM378" t="s">
        <v>25</v>
      </c>
      <c r="TCN378">
        <v>24</v>
      </c>
      <c r="TCO378">
        <v>0.05</v>
      </c>
      <c r="TCP378">
        <v>1</v>
      </c>
      <c r="TCQ378" t="s">
        <v>531</v>
      </c>
      <c r="TCR378" t="str">
        <f>"628669010033"</f>
        <v>628669010033</v>
      </c>
      <c r="TCS378" t="str">
        <f>"0419671"</f>
        <v>0419671</v>
      </c>
      <c r="TCT378" t="s">
        <v>199</v>
      </c>
      <c r="TCU378" t="s">
        <v>25</v>
      </c>
      <c r="TCV378">
        <v>24</v>
      </c>
      <c r="TCW378">
        <v>0.05</v>
      </c>
      <c r="TCX378">
        <v>1</v>
      </c>
      <c r="TCY378" t="s">
        <v>531</v>
      </c>
      <c r="TCZ378" t="str">
        <f>"628669010033"</f>
        <v>628669010033</v>
      </c>
      <c r="TDA378" t="str">
        <f>"0419671"</f>
        <v>0419671</v>
      </c>
      <c r="TDB378" t="s">
        <v>199</v>
      </c>
      <c r="TDC378" t="s">
        <v>25</v>
      </c>
      <c r="TDD378">
        <v>24</v>
      </c>
      <c r="TDE378">
        <v>0.05</v>
      </c>
      <c r="TDF378">
        <v>1</v>
      </c>
      <c r="TDG378" t="s">
        <v>531</v>
      </c>
      <c r="TDH378" t="str">
        <f>"628669010033"</f>
        <v>628669010033</v>
      </c>
      <c r="TDI378" t="str">
        <f>"0419671"</f>
        <v>0419671</v>
      </c>
      <c r="TDJ378" t="s">
        <v>199</v>
      </c>
      <c r="TDK378" t="s">
        <v>25</v>
      </c>
      <c r="TDL378">
        <v>24</v>
      </c>
      <c r="TDM378">
        <v>0.05</v>
      </c>
      <c r="TDN378">
        <v>1</v>
      </c>
      <c r="TDO378" t="s">
        <v>531</v>
      </c>
      <c r="TDP378" t="str">
        <f>"628669010033"</f>
        <v>628669010033</v>
      </c>
      <c r="TDQ378" t="str">
        <f>"0419671"</f>
        <v>0419671</v>
      </c>
      <c r="TDR378" t="s">
        <v>199</v>
      </c>
      <c r="TDS378" t="s">
        <v>25</v>
      </c>
      <c r="TDT378">
        <v>24</v>
      </c>
      <c r="TDU378">
        <v>0.05</v>
      </c>
      <c r="TDV378">
        <v>1</v>
      </c>
      <c r="TDW378" t="s">
        <v>531</v>
      </c>
      <c r="TDX378" t="str">
        <f>"628669010033"</f>
        <v>628669010033</v>
      </c>
      <c r="TDY378" t="str">
        <f>"0419671"</f>
        <v>0419671</v>
      </c>
      <c r="TDZ378" t="s">
        <v>199</v>
      </c>
      <c r="TEA378" t="s">
        <v>25</v>
      </c>
      <c r="TEB378">
        <v>24</v>
      </c>
      <c r="TEC378">
        <v>0.05</v>
      </c>
      <c r="TED378">
        <v>1</v>
      </c>
      <c r="TEE378" t="s">
        <v>531</v>
      </c>
      <c r="TEF378" t="str">
        <f>"628669010033"</f>
        <v>628669010033</v>
      </c>
      <c r="TEG378" t="str">
        <f>"0419671"</f>
        <v>0419671</v>
      </c>
      <c r="TEH378" t="s">
        <v>199</v>
      </c>
      <c r="TEI378" t="s">
        <v>25</v>
      </c>
      <c r="TEJ378">
        <v>24</v>
      </c>
      <c r="TEK378">
        <v>0.05</v>
      </c>
      <c r="TEL378">
        <v>1</v>
      </c>
      <c r="TEM378" t="s">
        <v>531</v>
      </c>
      <c r="TEN378" t="str">
        <f>"628669010033"</f>
        <v>628669010033</v>
      </c>
      <c r="TEO378" t="str">
        <f>"0419671"</f>
        <v>0419671</v>
      </c>
      <c r="TEP378" t="s">
        <v>199</v>
      </c>
      <c r="TEQ378" t="s">
        <v>25</v>
      </c>
      <c r="TER378">
        <v>24</v>
      </c>
      <c r="TES378">
        <v>0.05</v>
      </c>
      <c r="TET378">
        <v>1</v>
      </c>
      <c r="TEU378" t="s">
        <v>531</v>
      </c>
      <c r="TEV378" t="str">
        <f>"628669010033"</f>
        <v>628669010033</v>
      </c>
      <c r="TEW378" t="str">
        <f>"0419671"</f>
        <v>0419671</v>
      </c>
      <c r="TEX378" t="s">
        <v>199</v>
      </c>
      <c r="TEY378" t="s">
        <v>25</v>
      </c>
      <c r="TEZ378">
        <v>24</v>
      </c>
      <c r="TFA378">
        <v>0.05</v>
      </c>
      <c r="TFB378">
        <v>1</v>
      </c>
      <c r="TFC378" t="s">
        <v>531</v>
      </c>
      <c r="TFD378" t="str">
        <f>"628669010033"</f>
        <v>628669010033</v>
      </c>
      <c r="TFE378" t="str">
        <f>"0419671"</f>
        <v>0419671</v>
      </c>
      <c r="TFF378" t="s">
        <v>199</v>
      </c>
      <c r="TFG378" t="s">
        <v>25</v>
      </c>
      <c r="TFH378">
        <v>24</v>
      </c>
      <c r="TFI378">
        <v>0.05</v>
      </c>
      <c r="TFJ378">
        <v>1</v>
      </c>
      <c r="TFK378" t="s">
        <v>531</v>
      </c>
      <c r="TFL378" t="str">
        <f>"628669010033"</f>
        <v>628669010033</v>
      </c>
      <c r="TFM378" t="str">
        <f>"0419671"</f>
        <v>0419671</v>
      </c>
      <c r="TFN378" t="s">
        <v>199</v>
      </c>
      <c r="TFO378" t="s">
        <v>25</v>
      </c>
      <c r="TFP378">
        <v>24</v>
      </c>
      <c r="TFQ378">
        <v>0.05</v>
      </c>
      <c r="TFR378">
        <v>1</v>
      </c>
      <c r="TFS378" t="s">
        <v>531</v>
      </c>
      <c r="TFT378" t="str">
        <f>"628669010033"</f>
        <v>628669010033</v>
      </c>
      <c r="TFU378" t="str">
        <f>"0419671"</f>
        <v>0419671</v>
      </c>
      <c r="TFV378" t="s">
        <v>199</v>
      </c>
      <c r="TFW378" t="s">
        <v>25</v>
      </c>
      <c r="TFX378">
        <v>24</v>
      </c>
      <c r="TFY378">
        <v>0.05</v>
      </c>
      <c r="TFZ378">
        <v>1</v>
      </c>
      <c r="TGA378" t="s">
        <v>531</v>
      </c>
      <c r="TGB378" t="str">
        <f>"628669010033"</f>
        <v>628669010033</v>
      </c>
      <c r="TGC378" t="str">
        <f>"0419671"</f>
        <v>0419671</v>
      </c>
      <c r="TGD378" t="s">
        <v>199</v>
      </c>
      <c r="TGE378" t="s">
        <v>25</v>
      </c>
      <c r="TGF378">
        <v>24</v>
      </c>
      <c r="TGG378">
        <v>0.05</v>
      </c>
      <c r="TGH378">
        <v>1</v>
      </c>
      <c r="TGI378" t="s">
        <v>531</v>
      </c>
      <c r="TGJ378" t="str">
        <f>"628669010033"</f>
        <v>628669010033</v>
      </c>
      <c r="TGK378" t="str">
        <f>"0419671"</f>
        <v>0419671</v>
      </c>
      <c r="TGL378" t="s">
        <v>199</v>
      </c>
      <c r="TGM378" t="s">
        <v>25</v>
      </c>
      <c r="TGN378">
        <v>24</v>
      </c>
      <c r="TGO378">
        <v>0.05</v>
      </c>
      <c r="TGP378">
        <v>1</v>
      </c>
      <c r="TGQ378" t="s">
        <v>531</v>
      </c>
      <c r="TGR378" t="str">
        <f>"628669010033"</f>
        <v>628669010033</v>
      </c>
      <c r="TGS378" t="str">
        <f>"0419671"</f>
        <v>0419671</v>
      </c>
      <c r="TGT378" t="s">
        <v>199</v>
      </c>
      <c r="TGU378" t="s">
        <v>25</v>
      </c>
      <c r="TGV378">
        <v>24</v>
      </c>
      <c r="TGW378">
        <v>0.05</v>
      </c>
      <c r="TGX378">
        <v>1</v>
      </c>
      <c r="TGY378" t="s">
        <v>531</v>
      </c>
      <c r="TGZ378" t="str">
        <f>"628669010033"</f>
        <v>628669010033</v>
      </c>
      <c r="THA378" t="str">
        <f>"0419671"</f>
        <v>0419671</v>
      </c>
      <c r="THB378" t="s">
        <v>199</v>
      </c>
      <c r="THC378" t="s">
        <v>25</v>
      </c>
      <c r="THD378">
        <v>24</v>
      </c>
      <c r="THE378">
        <v>0.05</v>
      </c>
      <c r="THF378">
        <v>1</v>
      </c>
      <c r="THG378" t="s">
        <v>531</v>
      </c>
      <c r="THH378" t="str">
        <f>"628669010033"</f>
        <v>628669010033</v>
      </c>
      <c r="THI378" t="str">
        <f>"0419671"</f>
        <v>0419671</v>
      </c>
      <c r="THJ378" t="s">
        <v>199</v>
      </c>
      <c r="THK378" t="s">
        <v>25</v>
      </c>
      <c r="THL378">
        <v>24</v>
      </c>
      <c r="THM378">
        <v>0.05</v>
      </c>
      <c r="THN378">
        <v>1</v>
      </c>
      <c r="THO378" t="s">
        <v>531</v>
      </c>
      <c r="THP378" t="str">
        <f>"628669010033"</f>
        <v>628669010033</v>
      </c>
      <c r="THQ378" t="str">
        <f>"0419671"</f>
        <v>0419671</v>
      </c>
      <c r="THR378" t="s">
        <v>199</v>
      </c>
      <c r="THS378" t="s">
        <v>25</v>
      </c>
      <c r="THT378">
        <v>24</v>
      </c>
      <c r="THU378">
        <v>0.05</v>
      </c>
      <c r="THV378">
        <v>1</v>
      </c>
      <c r="THW378" t="s">
        <v>531</v>
      </c>
      <c r="THX378" t="str">
        <f>"628669010033"</f>
        <v>628669010033</v>
      </c>
      <c r="THY378" t="str">
        <f>"0419671"</f>
        <v>0419671</v>
      </c>
      <c r="THZ378" t="s">
        <v>199</v>
      </c>
      <c r="TIA378" t="s">
        <v>25</v>
      </c>
      <c r="TIB378">
        <v>24</v>
      </c>
      <c r="TIC378">
        <v>0.05</v>
      </c>
      <c r="TID378">
        <v>1</v>
      </c>
      <c r="TIE378" t="s">
        <v>531</v>
      </c>
      <c r="TIF378" t="str">
        <f>"628669010033"</f>
        <v>628669010033</v>
      </c>
      <c r="TIG378" t="str">
        <f>"0419671"</f>
        <v>0419671</v>
      </c>
      <c r="TIH378" t="s">
        <v>199</v>
      </c>
      <c r="TII378" t="s">
        <v>25</v>
      </c>
      <c r="TIJ378">
        <v>24</v>
      </c>
      <c r="TIK378">
        <v>0.05</v>
      </c>
      <c r="TIL378">
        <v>1</v>
      </c>
      <c r="TIM378" t="s">
        <v>531</v>
      </c>
      <c r="TIN378" t="str">
        <f>"628669010033"</f>
        <v>628669010033</v>
      </c>
      <c r="TIO378" t="str">
        <f>"0419671"</f>
        <v>0419671</v>
      </c>
      <c r="TIP378" t="s">
        <v>199</v>
      </c>
      <c r="TIQ378" t="s">
        <v>25</v>
      </c>
      <c r="TIR378">
        <v>24</v>
      </c>
      <c r="TIS378">
        <v>0.05</v>
      </c>
      <c r="TIT378">
        <v>1</v>
      </c>
      <c r="TIU378" t="s">
        <v>531</v>
      </c>
      <c r="TIV378" t="str">
        <f>"628669010033"</f>
        <v>628669010033</v>
      </c>
      <c r="TIW378" t="str">
        <f>"0419671"</f>
        <v>0419671</v>
      </c>
      <c r="TIX378" t="s">
        <v>199</v>
      </c>
      <c r="TIY378" t="s">
        <v>25</v>
      </c>
      <c r="TIZ378">
        <v>24</v>
      </c>
      <c r="TJA378">
        <v>0.05</v>
      </c>
      <c r="TJB378">
        <v>1</v>
      </c>
      <c r="TJC378" t="s">
        <v>531</v>
      </c>
      <c r="TJD378" t="str">
        <f>"628669010033"</f>
        <v>628669010033</v>
      </c>
      <c r="TJE378" t="str">
        <f>"0419671"</f>
        <v>0419671</v>
      </c>
      <c r="TJF378" t="s">
        <v>199</v>
      </c>
      <c r="TJG378" t="s">
        <v>25</v>
      </c>
      <c r="TJH378">
        <v>24</v>
      </c>
      <c r="TJI378">
        <v>0.05</v>
      </c>
      <c r="TJJ378">
        <v>1</v>
      </c>
      <c r="TJK378" t="s">
        <v>531</v>
      </c>
      <c r="TJL378" t="str">
        <f>"628669010033"</f>
        <v>628669010033</v>
      </c>
      <c r="TJM378" t="str">
        <f>"0419671"</f>
        <v>0419671</v>
      </c>
      <c r="TJN378" t="s">
        <v>199</v>
      </c>
      <c r="TJO378" t="s">
        <v>25</v>
      </c>
      <c r="TJP378">
        <v>24</v>
      </c>
      <c r="TJQ378">
        <v>0.05</v>
      </c>
      <c r="TJR378">
        <v>1</v>
      </c>
      <c r="TJS378" t="s">
        <v>531</v>
      </c>
      <c r="TJT378" t="str">
        <f>"628669010033"</f>
        <v>628669010033</v>
      </c>
      <c r="TJU378" t="str">
        <f>"0419671"</f>
        <v>0419671</v>
      </c>
      <c r="TJV378" t="s">
        <v>199</v>
      </c>
      <c r="TJW378" t="s">
        <v>25</v>
      </c>
      <c r="TJX378">
        <v>24</v>
      </c>
      <c r="TJY378">
        <v>0.05</v>
      </c>
      <c r="TJZ378">
        <v>1</v>
      </c>
      <c r="TKA378" t="s">
        <v>531</v>
      </c>
      <c r="TKB378" t="str">
        <f>"628669010033"</f>
        <v>628669010033</v>
      </c>
      <c r="TKC378" t="str">
        <f>"0419671"</f>
        <v>0419671</v>
      </c>
      <c r="TKD378" t="s">
        <v>199</v>
      </c>
      <c r="TKE378" t="s">
        <v>25</v>
      </c>
      <c r="TKF378">
        <v>24</v>
      </c>
      <c r="TKG378">
        <v>0.05</v>
      </c>
      <c r="TKH378">
        <v>1</v>
      </c>
      <c r="TKI378" t="s">
        <v>531</v>
      </c>
      <c r="TKJ378" t="str">
        <f>"628669010033"</f>
        <v>628669010033</v>
      </c>
      <c r="TKK378" t="str">
        <f>"0419671"</f>
        <v>0419671</v>
      </c>
      <c r="TKL378" t="s">
        <v>199</v>
      </c>
      <c r="TKM378" t="s">
        <v>25</v>
      </c>
      <c r="TKN378">
        <v>24</v>
      </c>
      <c r="TKO378">
        <v>0.05</v>
      </c>
      <c r="TKP378">
        <v>1</v>
      </c>
      <c r="TKQ378" t="s">
        <v>531</v>
      </c>
      <c r="TKR378" t="str">
        <f>"628669010033"</f>
        <v>628669010033</v>
      </c>
      <c r="TKS378" t="str">
        <f>"0419671"</f>
        <v>0419671</v>
      </c>
      <c r="TKT378" t="s">
        <v>199</v>
      </c>
      <c r="TKU378" t="s">
        <v>25</v>
      </c>
      <c r="TKV378">
        <v>24</v>
      </c>
      <c r="TKW378">
        <v>0.05</v>
      </c>
      <c r="TKX378">
        <v>1</v>
      </c>
      <c r="TKY378" t="s">
        <v>531</v>
      </c>
      <c r="TKZ378" t="str">
        <f>"628669010033"</f>
        <v>628669010033</v>
      </c>
      <c r="TLA378" t="str">
        <f>"0419671"</f>
        <v>0419671</v>
      </c>
      <c r="TLB378" t="s">
        <v>199</v>
      </c>
      <c r="TLC378" t="s">
        <v>25</v>
      </c>
      <c r="TLD378">
        <v>24</v>
      </c>
      <c r="TLE378">
        <v>0.05</v>
      </c>
      <c r="TLF378">
        <v>1</v>
      </c>
      <c r="TLG378" t="s">
        <v>531</v>
      </c>
      <c r="TLH378" t="str">
        <f>"628669010033"</f>
        <v>628669010033</v>
      </c>
      <c r="TLI378" t="str">
        <f>"0419671"</f>
        <v>0419671</v>
      </c>
      <c r="TLJ378" t="s">
        <v>199</v>
      </c>
      <c r="TLK378" t="s">
        <v>25</v>
      </c>
      <c r="TLL378">
        <v>24</v>
      </c>
      <c r="TLM378">
        <v>0.05</v>
      </c>
      <c r="TLN378">
        <v>1</v>
      </c>
      <c r="TLO378" t="s">
        <v>531</v>
      </c>
      <c r="TLP378" t="str">
        <f>"628669010033"</f>
        <v>628669010033</v>
      </c>
      <c r="TLQ378" t="str">
        <f>"0419671"</f>
        <v>0419671</v>
      </c>
      <c r="TLR378" t="s">
        <v>199</v>
      </c>
      <c r="TLS378" t="s">
        <v>25</v>
      </c>
      <c r="TLT378">
        <v>24</v>
      </c>
      <c r="TLU378">
        <v>0.05</v>
      </c>
      <c r="TLV378">
        <v>1</v>
      </c>
      <c r="TLW378" t="s">
        <v>531</v>
      </c>
      <c r="TLX378" t="str">
        <f>"628669010033"</f>
        <v>628669010033</v>
      </c>
      <c r="TLY378" t="str">
        <f>"0419671"</f>
        <v>0419671</v>
      </c>
      <c r="TLZ378" t="s">
        <v>199</v>
      </c>
      <c r="TMA378" t="s">
        <v>25</v>
      </c>
      <c r="TMB378">
        <v>24</v>
      </c>
      <c r="TMC378">
        <v>0.05</v>
      </c>
      <c r="TMD378">
        <v>1</v>
      </c>
      <c r="TME378" t="s">
        <v>531</v>
      </c>
      <c r="TMF378" t="str">
        <f>"628669010033"</f>
        <v>628669010033</v>
      </c>
      <c r="TMG378" t="str">
        <f>"0419671"</f>
        <v>0419671</v>
      </c>
      <c r="TMH378" t="s">
        <v>199</v>
      </c>
      <c r="TMI378" t="s">
        <v>25</v>
      </c>
      <c r="TMJ378">
        <v>24</v>
      </c>
      <c r="TMK378">
        <v>0.05</v>
      </c>
      <c r="TML378">
        <v>1</v>
      </c>
      <c r="TMM378" t="s">
        <v>531</v>
      </c>
      <c r="TMN378" t="str">
        <f>"628669010033"</f>
        <v>628669010033</v>
      </c>
      <c r="TMO378" t="str">
        <f>"0419671"</f>
        <v>0419671</v>
      </c>
      <c r="TMP378" t="s">
        <v>199</v>
      </c>
      <c r="TMQ378" t="s">
        <v>25</v>
      </c>
      <c r="TMR378">
        <v>24</v>
      </c>
      <c r="TMS378">
        <v>0.05</v>
      </c>
      <c r="TMT378">
        <v>1</v>
      </c>
      <c r="TMU378" t="s">
        <v>531</v>
      </c>
      <c r="TMV378" t="str">
        <f>"628669010033"</f>
        <v>628669010033</v>
      </c>
      <c r="TMW378" t="str">
        <f>"0419671"</f>
        <v>0419671</v>
      </c>
      <c r="TMX378" t="s">
        <v>199</v>
      </c>
      <c r="TMY378" t="s">
        <v>25</v>
      </c>
      <c r="TMZ378">
        <v>24</v>
      </c>
      <c r="TNA378">
        <v>0.05</v>
      </c>
      <c r="TNB378">
        <v>1</v>
      </c>
      <c r="TNC378" t="s">
        <v>531</v>
      </c>
      <c r="TND378" t="str">
        <f>"628669010033"</f>
        <v>628669010033</v>
      </c>
      <c r="TNE378" t="str">
        <f>"0419671"</f>
        <v>0419671</v>
      </c>
      <c r="TNF378" t="s">
        <v>199</v>
      </c>
      <c r="TNG378" t="s">
        <v>25</v>
      </c>
      <c r="TNH378">
        <v>24</v>
      </c>
      <c r="TNI378">
        <v>0.05</v>
      </c>
      <c r="TNJ378">
        <v>1</v>
      </c>
      <c r="TNK378" t="s">
        <v>531</v>
      </c>
      <c r="TNL378" t="str">
        <f>"628669010033"</f>
        <v>628669010033</v>
      </c>
      <c r="TNM378" t="str">
        <f>"0419671"</f>
        <v>0419671</v>
      </c>
      <c r="TNN378" t="s">
        <v>199</v>
      </c>
      <c r="TNO378" t="s">
        <v>25</v>
      </c>
      <c r="TNP378">
        <v>24</v>
      </c>
      <c r="TNQ378">
        <v>0.05</v>
      </c>
      <c r="TNR378">
        <v>1</v>
      </c>
      <c r="TNS378" t="s">
        <v>531</v>
      </c>
      <c r="TNT378" t="str">
        <f>"628669010033"</f>
        <v>628669010033</v>
      </c>
      <c r="TNU378" t="str">
        <f>"0419671"</f>
        <v>0419671</v>
      </c>
      <c r="TNV378" t="s">
        <v>199</v>
      </c>
      <c r="TNW378" t="s">
        <v>25</v>
      </c>
      <c r="TNX378">
        <v>24</v>
      </c>
      <c r="TNY378">
        <v>0.05</v>
      </c>
      <c r="TNZ378">
        <v>1</v>
      </c>
      <c r="TOA378" t="s">
        <v>531</v>
      </c>
      <c r="TOB378" t="str">
        <f>"628669010033"</f>
        <v>628669010033</v>
      </c>
      <c r="TOC378" t="str">
        <f>"0419671"</f>
        <v>0419671</v>
      </c>
      <c r="TOD378" t="s">
        <v>199</v>
      </c>
      <c r="TOE378" t="s">
        <v>25</v>
      </c>
      <c r="TOF378">
        <v>24</v>
      </c>
      <c r="TOG378">
        <v>0.05</v>
      </c>
      <c r="TOH378">
        <v>1</v>
      </c>
      <c r="TOI378" t="s">
        <v>531</v>
      </c>
      <c r="TOJ378" t="str">
        <f>"628669010033"</f>
        <v>628669010033</v>
      </c>
      <c r="TOK378" t="str">
        <f>"0419671"</f>
        <v>0419671</v>
      </c>
      <c r="TOL378" t="s">
        <v>199</v>
      </c>
      <c r="TOM378" t="s">
        <v>25</v>
      </c>
      <c r="TON378">
        <v>24</v>
      </c>
      <c r="TOO378">
        <v>0.05</v>
      </c>
      <c r="TOP378">
        <v>1</v>
      </c>
      <c r="TOQ378" t="s">
        <v>531</v>
      </c>
      <c r="TOR378" t="str">
        <f>"628669010033"</f>
        <v>628669010033</v>
      </c>
      <c r="TOS378" t="str">
        <f>"0419671"</f>
        <v>0419671</v>
      </c>
      <c r="TOT378" t="s">
        <v>199</v>
      </c>
      <c r="TOU378" t="s">
        <v>25</v>
      </c>
      <c r="TOV378">
        <v>24</v>
      </c>
      <c r="TOW378">
        <v>0.05</v>
      </c>
      <c r="TOX378">
        <v>1</v>
      </c>
      <c r="TOY378" t="s">
        <v>531</v>
      </c>
      <c r="TOZ378" t="str">
        <f>"628669010033"</f>
        <v>628669010033</v>
      </c>
      <c r="TPA378" t="str">
        <f>"0419671"</f>
        <v>0419671</v>
      </c>
      <c r="TPB378" t="s">
        <v>199</v>
      </c>
      <c r="TPC378" t="s">
        <v>25</v>
      </c>
      <c r="TPD378">
        <v>24</v>
      </c>
      <c r="TPE378">
        <v>0.05</v>
      </c>
      <c r="TPF378">
        <v>1</v>
      </c>
      <c r="TPG378" t="s">
        <v>531</v>
      </c>
      <c r="TPH378" t="str">
        <f>"628669010033"</f>
        <v>628669010033</v>
      </c>
      <c r="TPI378" t="str">
        <f>"0419671"</f>
        <v>0419671</v>
      </c>
      <c r="TPJ378" t="s">
        <v>199</v>
      </c>
      <c r="TPK378" t="s">
        <v>25</v>
      </c>
      <c r="TPL378">
        <v>24</v>
      </c>
      <c r="TPM378">
        <v>0.05</v>
      </c>
      <c r="TPN378">
        <v>1</v>
      </c>
      <c r="TPO378" t="s">
        <v>531</v>
      </c>
      <c r="TPP378" t="str">
        <f>"628669010033"</f>
        <v>628669010033</v>
      </c>
      <c r="TPQ378" t="str">
        <f>"0419671"</f>
        <v>0419671</v>
      </c>
      <c r="TPR378" t="s">
        <v>199</v>
      </c>
      <c r="TPS378" t="s">
        <v>25</v>
      </c>
      <c r="TPT378">
        <v>24</v>
      </c>
      <c r="TPU378">
        <v>0.05</v>
      </c>
      <c r="TPV378">
        <v>1</v>
      </c>
      <c r="TPW378" t="s">
        <v>531</v>
      </c>
      <c r="TPX378" t="str">
        <f>"628669010033"</f>
        <v>628669010033</v>
      </c>
      <c r="TPY378" t="str">
        <f>"0419671"</f>
        <v>0419671</v>
      </c>
      <c r="TPZ378" t="s">
        <v>199</v>
      </c>
      <c r="TQA378" t="s">
        <v>25</v>
      </c>
      <c r="TQB378">
        <v>24</v>
      </c>
      <c r="TQC378">
        <v>0.05</v>
      </c>
      <c r="TQD378">
        <v>1</v>
      </c>
      <c r="TQE378" t="s">
        <v>531</v>
      </c>
      <c r="TQF378" t="str">
        <f>"628669010033"</f>
        <v>628669010033</v>
      </c>
      <c r="TQG378" t="str">
        <f>"0419671"</f>
        <v>0419671</v>
      </c>
      <c r="TQH378" t="s">
        <v>199</v>
      </c>
      <c r="TQI378" t="s">
        <v>25</v>
      </c>
      <c r="TQJ378">
        <v>24</v>
      </c>
      <c r="TQK378">
        <v>0.05</v>
      </c>
      <c r="TQL378">
        <v>1</v>
      </c>
      <c r="TQM378" t="s">
        <v>531</v>
      </c>
      <c r="TQN378" t="str">
        <f>"628669010033"</f>
        <v>628669010033</v>
      </c>
      <c r="TQO378" t="str">
        <f>"0419671"</f>
        <v>0419671</v>
      </c>
      <c r="TQP378" t="s">
        <v>199</v>
      </c>
      <c r="TQQ378" t="s">
        <v>25</v>
      </c>
      <c r="TQR378">
        <v>24</v>
      </c>
      <c r="TQS378">
        <v>0.05</v>
      </c>
      <c r="TQT378">
        <v>1</v>
      </c>
      <c r="TQU378" t="s">
        <v>531</v>
      </c>
      <c r="TQV378" t="str">
        <f>"628669010033"</f>
        <v>628669010033</v>
      </c>
      <c r="TQW378" t="str">
        <f>"0419671"</f>
        <v>0419671</v>
      </c>
      <c r="TQX378" t="s">
        <v>199</v>
      </c>
      <c r="TQY378" t="s">
        <v>25</v>
      </c>
      <c r="TQZ378">
        <v>24</v>
      </c>
      <c r="TRA378">
        <v>0.05</v>
      </c>
      <c r="TRB378">
        <v>1</v>
      </c>
      <c r="TRC378" t="s">
        <v>531</v>
      </c>
      <c r="TRD378" t="str">
        <f>"628669010033"</f>
        <v>628669010033</v>
      </c>
      <c r="TRE378" t="str">
        <f>"0419671"</f>
        <v>0419671</v>
      </c>
      <c r="TRF378" t="s">
        <v>199</v>
      </c>
      <c r="TRG378" t="s">
        <v>25</v>
      </c>
      <c r="TRH378">
        <v>24</v>
      </c>
      <c r="TRI378">
        <v>0.05</v>
      </c>
      <c r="TRJ378">
        <v>1</v>
      </c>
      <c r="TRK378" t="s">
        <v>531</v>
      </c>
      <c r="TRL378" t="str">
        <f>"628669010033"</f>
        <v>628669010033</v>
      </c>
      <c r="TRM378" t="str">
        <f>"0419671"</f>
        <v>0419671</v>
      </c>
      <c r="TRN378" t="s">
        <v>199</v>
      </c>
      <c r="TRO378" t="s">
        <v>25</v>
      </c>
      <c r="TRP378">
        <v>24</v>
      </c>
      <c r="TRQ378">
        <v>0.05</v>
      </c>
      <c r="TRR378">
        <v>1</v>
      </c>
      <c r="TRS378" t="s">
        <v>531</v>
      </c>
      <c r="TRT378" t="str">
        <f>"628669010033"</f>
        <v>628669010033</v>
      </c>
      <c r="TRU378" t="str">
        <f>"0419671"</f>
        <v>0419671</v>
      </c>
      <c r="TRV378" t="s">
        <v>199</v>
      </c>
      <c r="TRW378" t="s">
        <v>25</v>
      </c>
      <c r="TRX378">
        <v>24</v>
      </c>
      <c r="TRY378">
        <v>0.05</v>
      </c>
      <c r="TRZ378">
        <v>1</v>
      </c>
      <c r="TSA378" t="s">
        <v>531</v>
      </c>
      <c r="TSB378" t="str">
        <f>"628669010033"</f>
        <v>628669010033</v>
      </c>
      <c r="TSC378" t="str">
        <f>"0419671"</f>
        <v>0419671</v>
      </c>
      <c r="TSD378" t="s">
        <v>199</v>
      </c>
      <c r="TSE378" t="s">
        <v>25</v>
      </c>
      <c r="TSF378">
        <v>24</v>
      </c>
      <c r="TSG378">
        <v>0.05</v>
      </c>
      <c r="TSH378">
        <v>1</v>
      </c>
      <c r="TSI378" t="s">
        <v>531</v>
      </c>
      <c r="TSJ378" t="str">
        <f>"628669010033"</f>
        <v>628669010033</v>
      </c>
      <c r="TSK378" t="str">
        <f>"0419671"</f>
        <v>0419671</v>
      </c>
      <c r="TSL378" t="s">
        <v>199</v>
      </c>
      <c r="TSM378" t="s">
        <v>25</v>
      </c>
      <c r="TSN378">
        <v>24</v>
      </c>
      <c r="TSO378">
        <v>0.05</v>
      </c>
      <c r="TSP378">
        <v>1</v>
      </c>
      <c r="TSQ378" t="s">
        <v>531</v>
      </c>
      <c r="TSR378" t="str">
        <f>"628669010033"</f>
        <v>628669010033</v>
      </c>
      <c r="TSS378" t="str">
        <f>"0419671"</f>
        <v>0419671</v>
      </c>
      <c r="TST378" t="s">
        <v>199</v>
      </c>
      <c r="TSU378" t="s">
        <v>25</v>
      </c>
      <c r="TSV378">
        <v>24</v>
      </c>
      <c r="TSW378">
        <v>0.05</v>
      </c>
      <c r="TSX378">
        <v>1</v>
      </c>
      <c r="TSY378" t="s">
        <v>531</v>
      </c>
      <c r="TSZ378" t="str">
        <f>"628669010033"</f>
        <v>628669010033</v>
      </c>
      <c r="TTA378" t="str">
        <f>"0419671"</f>
        <v>0419671</v>
      </c>
      <c r="TTB378" t="s">
        <v>199</v>
      </c>
      <c r="TTC378" t="s">
        <v>25</v>
      </c>
      <c r="TTD378">
        <v>24</v>
      </c>
      <c r="TTE378">
        <v>0.05</v>
      </c>
      <c r="TTF378">
        <v>1</v>
      </c>
      <c r="TTG378" t="s">
        <v>531</v>
      </c>
      <c r="TTH378" t="str">
        <f>"628669010033"</f>
        <v>628669010033</v>
      </c>
      <c r="TTI378" t="str">
        <f>"0419671"</f>
        <v>0419671</v>
      </c>
      <c r="TTJ378" t="s">
        <v>199</v>
      </c>
      <c r="TTK378" t="s">
        <v>25</v>
      </c>
      <c r="TTL378">
        <v>24</v>
      </c>
      <c r="TTM378">
        <v>0.05</v>
      </c>
      <c r="TTN378">
        <v>1</v>
      </c>
      <c r="TTO378" t="s">
        <v>531</v>
      </c>
      <c r="TTP378" t="str">
        <f>"628669010033"</f>
        <v>628669010033</v>
      </c>
      <c r="TTQ378" t="str">
        <f>"0419671"</f>
        <v>0419671</v>
      </c>
      <c r="TTR378" t="s">
        <v>199</v>
      </c>
      <c r="TTS378" t="s">
        <v>25</v>
      </c>
      <c r="TTT378">
        <v>24</v>
      </c>
      <c r="TTU378">
        <v>0.05</v>
      </c>
      <c r="TTV378">
        <v>1</v>
      </c>
      <c r="TTW378" t="s">
        <v>531</v>
      </c>
      <c r="TTX378" t="str">
        <f>"628669010033"</f>
        <v>628669010033</v>
      </c>
      <c r="TTY378" t="str">
        <f>"0419671"</f>
        <v>0419671</v>
      </c>
      <c r="TTZ378" t="s">
        <v>199</v>
      </c>
      <c r="TUA378" t="s">
        <v>25</v>
      </c>
      <c r="TUB378">
        <v>24</v>
      </c>
      <c r="TUC378">
        <v>0.05</v>
      </c>
      <c r="TUD378">
        <v>1</v>
      </c>
      <c r="TUE378" t="s">
        <v>531</v>
      </c>
      <c r="TUF378" t="str">
        <f>"628669010033"</f>
        <v>628669010033</v>
      </c>
      <c r="TUG378" t="str">
        <f>"0419671"</f>
        <v>0419671</v>
      </c>
      <c r="TUH378" t="s">
        <v>199</v>
      </c>
      <c r="TUI378" t="s">
        <v>25</v>
      </c>
      <c r="TUJ378">
        <v>24</v>
      </c>
      <c r="TUK378">
        <v>0.05</v>
      </c>
      <c r="TUL378">
        <v>1</v>
      </c>
      <c r="TUM378" t="s">
        <v>531</v>
      </c>
      <c r="TUN378" t="str">
        <f>"628669010033"</f>
        <v>628669010033</v>
      </c>
      <c r="TUO378" t="str">
        <f>"0419671"</f>
        <v>0419671</v>
      </c>
      <c r="TUP378" t="s">
        <v>199</v>
      </c>
      <c r="TUQ378" t="s">
        <v>25</v>
      </c>
      <c r="TUR378">
        <v>24</v>
      </c>
      <c r="TUS378">
        <v>0.05</v>
      </c>
      <c r="TUT378">
        <v>1</v>
      </c>
      <c r="TUU378" t="s">
        <v>531</v>
      </c>
      <c r="TUV378" t="str">
        <f>"628669010033"</f>
        <v>628669010033</v>
      </c>
      <c r="TUW378" t="str">
        <f>"0419671"</f>
        <v>0419671</v>
      </c>
      <c r="TUX378" t="s">
        <v>199</v>
      </c>
      <c r="TUY378" t="s">
        <v>25</v>
      </c>
      <c r="TUZ378">
        <v>24</v>
      </c>
      <c r="TVA378">
        <v>0.05</v>
      </c>
      <c r="TVB378">
        <v>1</v>
      </c>
      <c r="TVC378" t="s">
        <v>531</v>
      </c>
      <c r="TVD378" t="str">
        <f>"628669010033"</f>
        <v>628669010033</v>
      </c>
      <c r="TVE378" t="str">
        <f>"0419671"</f>
        <v>0419671</v>
      </c>
      <c r="TVF378" t="s">
        <v>199</v>
      </c>
      <c r="TVG378" t="s">
        <v>25</v>
      </c>
      <c r="TVH378">
        <v>24</v>
      </c>
      <c r="TVI378">
        <v>0.05</v>
      </c>
      <c r="TVJ378">
        <v>1</v>
      </c>
      <c r="TVK378" t="s">
        <v>531</v>
      </c>
      <c r="TVL378" t="str">
        <f>"628669010033"</f>
        <v>628669010033</v>
      </c>
      <c r="TVM378" t="str">
        <f>"0419671"</f>
        <v>0419671</v>
      </c>
      <c r="TVN378" t="s">
        <v>199</v>
      </c>
      <c r="TVO378" t="s">
        <v>25</v>
      </c>
      <c r="TVP378">
        <v>24</v>
      </c>
      <c r="TVQ378">
        <v>0.05</v>
      </c>
      <c r="TVR378">
        <v>1</v>
      </c>
      <c r="TVS378" t="s">
        <v>531</v>
      </c>
      <c r="TVT378" t="str">
        <f>"628669010033"</f>
        <v>628669010033</v>
      </c>
      <c r="TVU378" t="str">
        <f>"0419671"</f>
        <v>0419671</v>
      </c>
      <c r="TVV378" t="s">
        <v>199</v>
      </c>
      <c r="TVW378" t="s">
        <v>25</v>
      </c>
      <c r="TVX378">
        <v>24</v>
      </c>
      <c r="TVY378">
        <v>0.05</v>
      </c>
      <c r="TVZ378">
        <v>1</v>
      </c>
      <c r="TWA378" t="s">
        <v>531</v>
      </c>
      <c r="TWB378" t="str">
        <f>"628669010033"</f>
        <v>628669010033</v>
      </c>
      <c r="TWC378" t="str">
        <f>"0419671"</f>
        <v>0419671</v>
      </c>
      <c r="TWD378" t="s">
        <v>199</v>
      </c>
      <c r="TWE378" t="s">
        <v>25</v>
      </c>
      <c r="TWF378">
        <v>24</v>
      </c>
      <c r="TWG378">
        <v>0.05</v>
      </c>
      <c r="TWH378">
        <v>1</v>
      </c>
      <c r="TWI378" t="s">
        <v>531</v>
      </c>
      <c r="TWJ378" t="str">
        <f>"628669010033"</f>
        <v>628669010033</v>
      </c>
      <c r="TWK378" t="str">
        <f>"0419671"</f>
        <v>0419671</v>
      </c>
      <c r="TWL378" t="s">
        <v>199</v>
      </c>
      <c r="TWM378" t="s">
        <v>25</v>
      </c>
      <c r="TWN378">
        <v>24</v>
      </c>
      <c r="TWO378">
        <v>0.05</v>
      </c>
      <c r="TWP378">
        <v>1</v>
      </c>
      <c r="TWQ378" t="s">
        <v>531</v>
      </c>
      <c r="TWR378" t="str">
        <f>"628669010033"</f>
        <v>628669010033</v>
      </c>
      <c r="TWS378" t="str">
        <f>"0419671"</f>
        <v>0419671</v>
      </c>
      <c r="TWT378" t="s">
        <v>199</v>
      </c>
      <c r="TWU378" t="s">
        <v>25</v>
      </c>
      <c r="TWV378">
        <v>24</v>
      </c>
      <c r="TWW378">
        <v>0.05</v>
      </c>
      <c r="TWX378">
        <v>1</v>
      </c>
      <c r="TWY378" t="s">
        <v>531</v>
      </c>
      <c r="TWZ378" t="str">
        <f>"628669010033"</f>
        <v>628669010033</v>
      </c>
      <c r="TXA378" t="str">
        <f>"0419671"</f>
        <v>0419671</v>
      </c>
      <c r="TXB378" t="s">
        <v>199</v>
      </c>
      <c r="TXC378" t="s">
        <v>25</v>
      </c>
      <c r="TXD378">
        <v>24</v>
      </c>
      <c r="TXE378">
        <v>0.05</v>
      </c>
      <c r="TXF378">
        <v>1</v>
      </c>
      <c r="TXG378" t="s">
        <v>531</v>
      </c>
      <c r="TXH378" t="str">
        <f>"628669010033"</f>
        <v>628669010033</v>
      </c>
      <c r="TXI378" t="str">
        <f>"0419671"</f>
        <v>0419671</v>
      </c>
      <c r="TXJ378" t="s">
        <v>199</v>
      </c>
      <c r="TXK378" t="s">
        <v>25</v>
      </c>
      <c r="TXL378">
        <v>24</v>
      </c>
      <c r="TXM378">
        <v>0.05</v>
      </c>
      <c r="TXN378">
        <v>1</v>
      </c>
      <c r="TXO378" t="s">
        <v>531</v>
      </c>
      <c r="TXP378" t="str">
        <f>"628669010033"</f>
        <v>628669010033</v>
      </c>
      <c r="TXQ378" t="str">
        <f>"0419671"</f>
        <v>0419671</v>
      </c>
      <c r="TXR378" t="s">
        <v>199</v>
      </c>
      <c r="TXS378" t="s">
        <v>25</v>
      </c>
      <c r="TXT378">
        <v>24</v>
      </c>
      <c r="TXU378">
        <v>0.05</v>
      </c>
      <c r="TXV378">
        <v>1</v>
      </c>
      <c r="TXW378" t="s">
        <v>531</v>
      </c>
      <c r="TXX378" t="str">
        <f>"628669010033"</f>
        <v>628669010033</v>
      </c>
      <c r="TXY378" t="str">
        <f>"0419671"</f>
        <v>0419671</v>
      </c>
      <c r="TXZ378" t="s">
        <v>199</v>
      </c>
      <c r="TYA378" t="s">
        <v>25</v>
      </c>
      <c r="TYB378">
        <v>24</v>
      </c>
      <c r="TYC378">
        <v>0.05</v>
      </c>
      <c r="TYD378">
        <v>1</v>
      </c>
      <c r="TYE378" t="s">
        <v>531</v>
      </c>
      <c r="TYF378" t="str">
        <f>"628669010033"</f>
        <v>628669010033</v>
      </c>
      <c r="TYG378" t="str">
        <f>"0419671"</f>
        <v>0419671</v>
      </c>
      <c r="TYH378" t="s">
        <v>199</v>
      </c>
      <c r="TYI378" t="s">
        <v>25</v>
      </c>
      <c r="TYJ378">
        <v>24</v>
      </c>
      <c r="TYK378">
        <v>0.05</v>
      </c>
      <c r="TYL378">
        <v>1</v>
      </c>
      <c r="TYM378" t="s">
        <v>531</v>
      </c>
      <c r="TYN378" t="str">
        <f>"628669010033"</f>
        <v>628669010033</v>
      </c>
      <c r="TYO378" t="str">
        <f>"0419671"</f>
        <v>0419671</v>
      </c>
      <c r="TYP378" t="s">
        <v>199</v>
      </c>
      <c r="TYQ378" t="s">
        <v>25</v>
      </c>
      <c r="TYR378">
        <v>24</v>
      </c>
      <c r="TYS378">
        <v>0.05</v>
      </c>
      <c r="TYT378">
        <v>1</v>
      </c>
      <c r="TYU378" t="s">
        <v>531</v>
      </c>
      <c r="TYV378" t="str">
        <f>"628669010033"</f>
        <v>628669010033</v>
      </c>
      <c r="TYW378" t="str">
        <f>"0419671"</f>
        <v>0419671</v>
      </c>
      <c r="TYX378" t="s">
        <v>199</v>
      </c>
      <c r="TYY378" t="s">
        <v>25</v>
      </c>
      <c r="TYZ378">
        <v>24</v>
      </c>
      <c r="TZA378">
        <v>0.05</v>
      </c>
      <c r="TZB378">
        <v>1</v>
      </c>
      <c r="TZC378" t="s">
        <v>531</v>
      </c>
      <c r="TZD378" t="str">
        <f>"628669010033"</f>
        <v>628669010033</v>
      </c>
      <c r="TZE378" t="str">
        <f>"0419671"</f>
        <v>0419671</v>
      </c>
      <c r="TZF378" t="s">
        <v>199</v>
      </c>
      <c r="TZG378" t="s">
        <v>25</v>
      </c>
      <c r="TZH378">
        <v>24</v>
      </c>
      <c r="TZI378">
        <v>0.05</v>
      </c>
      <c r="TZJ378">
        <v>1</v>
      </c>
      <c r="TZK378" t="s">
        <v>531</v>
      </c>
      <c r="TZL378" t="str">
        <f>"628669010033"</f>
        <v>628669010033</v>
      </c>
      <c r="TZM378" t="str">
        <f>"0419671"</f>
        <v>0419671</v>
      </c>
      <c r="TZN378" t="s">
        <v>199</v>
      </c>
      <c r="TZO378" t="s">
        <v>25</v>
      </c>
      <c r="TZP378">
        <v>24</v>
      </c>
      <c r="TZQ378">
        <v>0.05</v>
      </c>
      <c r="TZR378">
        <v>1</v>
      </c>
      <c r="TZS378" t="s">
        <v>531</v>
      </c>
      <c r="TZT378" t="str">
        <f>"628669010033"</f>
        <v>628669010033</v>
      </c>
      <c r="TZU378" t="str">
        <f>"0419671"</f>
        <v>0419671</v>
      </c>
      <c r="TZV378" t="s">
        <v>199</v>
      </c>
      <c r="TZW378" t="s">
        <v>25</v>
      </c>
      <c r="TZX378">
        <v>24</v>
      </c>
      <c r="TZY378">
        <v>0.05</v>
      </c>
      <c r="TZZ378">
        <v>1</v>
      </c>
      <c r="UAA378" t="s">
        <v>531</v>
      </c>
      <c r="UAB378" t="str">
        <f>"628669010033"</f>
        <v>628669010033</v>
      </c>
      <c r="UAC378" t="str">
        <f>"0419671"</f>
        <v>0419671</v>
      </c>
      <c r="UAD378" t="s">
        <v>199</v>
      </c>
      <c r="UAE378" t="s">
        <v>25</v>
      </c>
      <c r="UAF378">
        <v>24</v>
      </c>
      <c r="UAG378">
        <v>0.05</v>
      </c>
      <c r="UAH378">
        <v>1</v>
      </c>
      <c r="UAI378" t="s">
        <v>531</v>
      </c>
      <c r="UAJ378" t="str">
        <f>"628669010033"</f>
        <v>628669010033</v>
      </c>
      <c r="UAK378" t="str">
        <f>"0419671"</f>
        <v>0419671</v>
      </c>
      <c r="UAL378" t="s">
        <v>199</v>
      </c>
      <c r="UAM378" t="s">
        <v>25</v>
      </c>
      <c r="UAN378">
        <v>24</v>
      </c>
      <c r="UAO378">
        <v>0.05</v>
      </c>
      <c r="UAP378">
        <v>1</v>
      </c>
      <c r="UAQ378" t="s">
        <v>531</v>
      </c>
      <c r="UAR378" t="str">
        <f>"628669010033"</f>
        <v>628669010033</v>
      </c>
      <c r="UAS378" t="str">
        <f>"0419671"</f>
        <v>0419671</v>
      </c>
      <c r="UAT378" t="s">
        <v>199</v>
      </c>
      <c r="UAU378" t="s">
        <v>25</v>
      </c>
      <c r="UAV378">
        <v>24</v>
      </c>
      <c r="UAW378">
        <v>0.05</v>
      </c>
      <c r="UAX378">
        <v>1</v>
      </c>
      <c r="UAY378" t="s">
        <v>531</v>
      </c>
      <c r="UAZ378" t="str">
        <f>"628669010033"</f>
        <v>628669010033</v>
      </c>
      <c r="UBA378" t="str">
        <f>"0419671"</f>
        <v>0419671</v>
      </c>
      <c r="UBB378" t="s">
        <v>199</v>
      </c>
      <c r="UBC378" t="s">
        <v>25</v>
      </c>
      <c r="UBD378">
        <v>24</v>
      </c>
      <c r="UBE378">
        <v>0.05</v>
      </c>
      <c r="UBF378">
        <v>1</v>
      </c>
      <c r="UBG378" t="s">
        <v>531</v>
      </c>
      <c r="UBH378" t="str">
        <f>"628669010033"</f>
        <v>628669010033</v>
      </c>
      <c r="UBI378" t="str">
        <f>"0419671"</f>
        <v>0419671</v>
      </c>
      <c r="UBJ378" t="s">
        <v>199</v>
      </c>
      <c r="UBK378" t="s">
        <v>25</v>
      </c>
      <c r="UBL378">
        <v>24</v>
      </c>
      <c r="UBM378">
        <v>0.05</v>
      </c>
      <c r="UBN378">
        <v>1</v>
      </c>
      <c r="UBO378" t="s">
        <v>531</v>
      </c>
      <c r="UBP378" t="str">
        <f>"628669010033"</f>
        <v>628669010033</v>
      </c>
      <c r="UBQ378" t="str">
        <f>"0419671"</f>
        <v>0419671</v>
      </c>
      <c r="UBR378" t="s">
        <v>199</v>
      </c>
      <c r="UBS378" t="s">
        <v>25</v>
      </c>
      <c r="UBT378">
        <v>24</v>
      </c>
      <c r="UBU378">
        <v>0.05</v>
      </c>
      <c r="UBV378">
        <v>1</v>
      </c>
      <c r="UBW378" t="s">
        <v>531</v>
      </c>
      <c r="UBX378" t="str">
        <f>"628669010033"</f>
        <v>628669010033</v>
      </c>
      <c r="UBY378" t="str">
        <f>"0419671"</f>
        <v>0419671</v>
      </c>
      <c r="UBZ378" t="s">
        <v>199</v>
      </c>
      <c r="UCA378" t="s">
        <v>25</v>
      </c>
      <c r="UCB378">
        <v>24</v>
      </c>
      <c r="UCC378">
        <v>0.05</v>
      </c>
      <c r="UCD378">
        <v>1</v>
      </c>
      <c r="UCE378" t="s">
        <v>531</v>
      </c>
      <c r="UCF378" t="str">
        <f>"628669010033"</f>
        <v>628669010033</v>
      </c>
      <c r="UCG378" t="str">
        <f>"0419671"</f>
        <v>0419671</v>
      </c>
      <c r="UCH378" t="s">
        <v>199</v>
      </c>
      <c r="UCI378" t="s">
        <v>25</v>
      </c>
      <c r="UCJ378">
        <v>24</v>
      </c>
      <c r="UCK378">
        <v>0.05</v>
      </c>
      <c r="UCL378">
        <v>1</v>
      </c>
      <c r="UCM378" t="s">
        <v>531</v>
      </c>
      <c r="UCN378" t="str">
        <f>"628669010033"</f>
        <v>628669010033</v>
      </c>
      <c r="UCO378" t="str">
        <f>"0419671"</f>
        <v>0419671</v>
      </c>
      <c r="UCP378" t="s">
        <v>199</v>
      </c>
      <c r="UCQ378" t="s">
        <v>25</v>
      </c>
      <c r="UCR378">
        <v>24</v>
      </c>
      <c r="UCS378">
        <v>0.05</v>
      </c>
      <c r="UCT378">
        <v>1</v>
      </c>
      <c r="UCU378" t="s">
        <v>531</v>
      </c>
      <c r="UCV378" t="str">
        <f>"628669010033"</f>
        <v>628669010033</v>
      </c>
      <c r="UCW378" t="str">
        <f>"0419671"</f>
        <v>0419671</v>
      </c>
      <c r="UCX378" t="s">
        <v>199</v>
      </c>
      <c r="UCY378" t="s">
        <v>25</v>
      </c>
      <c r="UCZ378">
        <v>24</v>
      </c>
      <c r="UDA378">
        <v>0.05</v>
      </c>
      <c r="UDB378">
        <v>1</v>
      </c>
      <c r="UDC378" t="s">
        <v>531</v>
      </c>
      <c r="UDD378" t="str">
        <f>"628669010033"</f>
        <v>628669010033</v>
      </c>
      <c r="UDE378" t="str">
        <f>"0419671"</f>
        <v>0419671</v>
      </c>
      <c r="UDF378" t="s">
        <v>199</v>
      </c>
      <c r="UDG378" t="s">
        <v>25</v>
      </c>
      <c r="UDH378">
        <v>24</v>
      </c>
      <c r="UDI378">
        <v>0.05</v>
      </c>
      <c r="UDJ378">
        <v>1</v>
      </c>
      <c r="UDK378" t="s">
        <v>531</v>
      </c>
      <c r="UDL378" t="str">
        <f>"628669010033"</f>
        <v>628669010033</v>
      </c>
      <c r="UDM378" t="str">
        <f>"0419671"</f>
        <v>0419671</v>
      </c>
      <c r="UDN378" t="s">
        <v>199</v>
      </c>
      <c r="UDO378" t="s">
        <v>25</v>
      </c>
      <c r="UDP378">
        <v>24</v>
      </c>
      <c r="UDQ378">
        <v>0.05</v>
      </c>
      <c r="UDR378">
        <v>1</v>
      </c>
      <c r="UDS378" t="s">
        <v>531</v>
      </c>
      <c r="UDT378" t="str">
        <f>"628669010033"</f>
        <v>628669010033</v>
      </c>
      <c r="UDU378" t="str">
        <f>"0419671"</f>
        <v>0419671</v>
      </c>
      <c r="UDV378" t="s">
        <v>199</v>
      </c>
      <c r="UDW378" t="s">
        <v>25</v>
      </c>
      <c r="UDX378">
        <v>24</v>
      </c>
      <c r="UDY378">
        <v>0.05</v>
      </c>
      <c r="UDZ378">
        <v>1</v>
      </c>
      <c r="UEA378" t="s">
        <v>531</v>
      </c>
      <c r="UEB378" t="str">
        <f>"628669010033"</f>
        <v>628669010033</v>
      </c>
      <c r="UEC378" t="str">
        <f>"0419671"</f>
        <v>0419671</v>
      </c>
      <c r="UED378" t="s">
        <v>199</v>
      </c>
      <c r="UEE378" t="s">
        <v>25</v>
      </c>
      <c r="UEF378">
        <v>24</v>
      </c>
      <c r="UEG378">
        <v>0.05</v>
      </c>
      <c r="UEH378">
        <v>1</v>
      </c>
      <c r="UEI378" t="s">
        <v>531</v>
      </c>
      <c r="UEJ378" t="str">
        <f>"628669010033"</f>
        <v>628669010033</v>
      </c>
      <c r="UEK378" t="str">
        <f>"0419671"</f>
        <v>0419671</v>
      </c>
      <c r="UEL378" t="s">
        <v>199</v>
      </c>
      <c r="UEM378" t="s">
        <v>25</v>
      </c>
      <c r="UEN378">
        <v>24</v>
      </c>
      <c r="UEO378">
        <v>0.05</v>
      </c>
      <c r="UEP378">
        <v>1</v>
      </c>
      <c r="UEQ378" t="s">
        <v>531</v>
      </c>
      <c r="UER378" t="str">
        <f>"628669010033"</f>
        <v>628669010033</v>
      </c>
      <c r="UES378" t="str">
        <f>"0419671"</f>
        <v>0419671</v>
      </c>
      <c r="UET378" t="s">
        <v>199</v>
      </c>
      <c r="UEU378" t="s">
        <v>25</v>
      </c>
      <c r="UEV378">
        <v>24</v>
      </c>
      <c r="UEW378">
        <v>0.05</v>
      </c>
      <c r="UEX378">
        <v>1</v>
      </c>
      <c r="UEY378" t="s">
        <v>531</v>
      </c>
      <c r="UEZ378" t="str">
        <f>"628669010033"</f>
        <v>628669010033</v>
      </c>
      <c r="UFA378" t="str">
        <f>"0419671"</f>
        <v>0419671</v>
      </c>
      <c r="UFB378" t="s">
        <v>199</v>
      </c>
      <c r="UFC378" t="s">
        <v>25</v>
      </c>
      <c r="UFD378">
        <v>24</v>
      </c>
      <c r="UFE378">
        <v>0.05</v>
      </c>
      <c r="UFF378">
        <v>1</v>
      </c>
      <c r="UFG378" t="s">
        <v>531</v>
      </c>
      <c r="UFH378" t="str">
        <f>"628669010033"</f>
        <v>628669010033</v>
      </c>
      <c r="UFI378" t="str">
        <f>"0419671"</f>
        <v>0419671</v>
      </c>
      <c r="UFJ378" t="s">
        <v>199</v>
      </c>
      <c r="UFK378" t="s">
        <v>25</v>
      </c>
      <c r="UFL378">
        <v>24</v>
      </c>
      <c r="UFM378">
        <v>0.05</v>
      </c>
      <c r="UFN378">
        <v>1</v>
      </c>
      <c r="UFO378" t="s">
        <v>531</v>
      </c>
      <c r="UFP378" t="str">
        <f>"628669010033"</f>
        <v>628669010033</v>
      </c>
      <c r="UFQ378" t="str">
        <f>"0419671"</f>
        <v>0419671</v>
      </c>
      <c r="UFR378" t="s">
        <v>199</v>
      </c>
      <c r="UFS378" t="s">
        <v>25</v>
      </c>
      <c r="UFT378">
        <v>24</v>
      </c>
      <c r="UFU378">
        <v>0.05</v>
      </c>
      <c r="UFV378">
        <v>1</v>
      </c>
      <c r="UFW378" t="s">
        <v>531</v>
      </c>
      <c r="UFX378" t="str">
        <f>"628669010033"</f>
        <v>628669010033</v>
      </c>
      <c r="UFY378" t="str">
        <f>"0419671"</f>
        <v>0419671</v>
      </c>
      <c r="UFZ378" t="s">
        <v>199</v>
      </c>
      <c r="UGA378" t="s">
        <v>25</v>
      </c>
      <c r="UGB378">
        <v>24</v>
      </c>
      <c r="UGC378">
        <v>0.05</v>
      </c>
      <c r="UGD378">
        <v>1</v>
      </c>
      <c r="UGE378" t="s">
        <v>531</v>
      </c>
      <c r="UGF378" t="str">
        <f>"628669010033"</f>
        <v>628669010033</v>
      </c>
      <c r="UGG378" t="str">
        <f>"0419671"</f>
        <v>0419671</v>
      </c>
      <c r="UGH378" t="s">
        <v>199</v>
      </c>
      <c r="UGI378" t="s">
        <v>25</v>
      </c>
      <c r="UGJ378">
        <v>24</v>
      </c>
      <c r="UGK378">
        <v>0.05</v>
      </c>
      <c r="UGL378">
        <v>1</v>
      </c>
      <c r="UGM378" t="s">
        <v>531</v>
      </c>
      <c r="UGN378" t="str">
        <f>"628669010033"</f>
        <v>628669010033</v>
      </c>
      <c r="UGO378" t="str">
        <f>"0419671"</f>
        <v>0419671</v>
      </c>
      <c r="UGP378" t="s">
        <v>199</v>
      </c>
      <c r="UGQ378" t="s">
        <v>25</v>
      </c>
      <c r="UGR378">
        <v>24</v>
      </c>
      <c r="UGS378">
        <v>0.05</v>
      </c>
      <c r="UGT378">
        <v>1</v>
      </c>
      <c r="UGU378" t="s">
        <v>531</v>
      </c>
      <c r="UGV378" t="str">
        <f>"628669010033"</f>
        <v>628669010033</v>
      </c>
      <c r="UGW378" t="str">
        <f>"0419671"</f>
        <v>0419671</v>
      </c>
      <c r="UGX378" t="s">
        <v>199</v>
      </c>
      <c r="UGY378" t="s">
        <v>25</v>
      </c>
      <c r="UGZ378">
        <v>24</v>
      </c>
      <c r="UHA378">
        <v>0.05</v>
      </c>
      <c r="UHB378">
        <v>1</v>
      </c>
      <c r="UHC378" t="s">
        <v>531</v>
      </c>
      <c r="UHD378" t="str">
        <f>"628669010033"</f>
        <v>628669010033</v>
      </c>
      <c r="UHE378" t="str">
        <f>"0419671"</f>
        <v>0419671</v>
      </c>
      <c r="UHF378" t="s">
        <v>199</v>
      </c>
      <c r="UHG378" t="s">
        <v>25</v>
      </c>
      <c r="UHH378">
        <v>24</v>
      </c>
      <c r="UHI378">
        <v>0.05</v>
      </c>
      <c r="UHJ378">
        <v>1</v>
      </c>
      <c r="UHK378" t="s">
        <v>531</v>
      </c>
      <c r="UHL378" t="str">
        <f>"628669010033"</f>
        <v>628669010033</v>
      </c>
      <c r="UHM378" t="str">
        <f>"0419671"</f>
        <v>0419671</v>
      </c>
      <c r="UHN378" t="s">
        <v>199</v>
      </c>
      <c r="UHO378" t="s">
        <v>25</v>
      </c>
      <c r="UHP378">
        <v>24</v>
      </c>
      <c r="UHQ378">
        <v>0.05</v>
      </c>
      <c r="UHR378">
        <v>1</v>
      </c>
      <c r="UHS378" t="s">
        <v>531</v>
      </c>
      <c r="UHT378" t="str">
        <f>"628669010033"</f>
        <v>628669010033</v>
      </c>
      <c r="UHU378" t="str">
        <f>"0419671"</f>
        <v>0419671</v>
      </c>
      <c r="UHV378" t="s">
        <v>199</v>
      </c>
      <c r="UHW378" t="s">
        <v>25</v>
      </c>
      <c r="UHX378">
        <v>24</v>
      </c>
      <c r="UHY378">
        <v>0.05</v>
      </c>
      <c r="UHZ378">
        <v>1</v>
      </c>
      <c r="UIA378" t="s">
        <v>531</v>
      </c>
      <c r="UIB378" t="str">
        <f>"628669010033"</f>
        <v>628669010033</v>
      </c>
      <c r="UIC378" t="str">
        <f>"0419671"</f>
        <v>0419671</v>
      </c>
      <c r="UID378" t="s">
        <v>199</v>
      </c>
      <c r="UIE378" t="s">
        <v>25</v>
      </c>
      <c r="UIF378">
        <v>24</v>
      </c>
      <c r="UIG378">
        <v>0.05</v>
      </c>
      <c r="UIH378">
        <v>1</v>
      </c>
      <c r="UII378" t="s">
        <v>531</v>
      </c>
      <c r="UIJ378" t="str">
        <f>"628669010033"</f>
        <v>628669010033</v>
      </c>
      <c r="UIK378" t="str">
        <f>"0419671"</f>
        <v>0419671</v>
      </c>
      <c r="UIL378" t="s">
        <v>199</v>
      </c>
      <c r="UIM378" t="s">
        <v>25</v>
      </c>
      <c r="UIN378">
        <v>24</v>
      </c>
      <c r="UIO378">
        <v>0.05</v>
      </c>
      <c r="UIP378">
        <v>1</v>
      </c>
      <c r="UIQ378" t="s">
        <v>531</v>
      </c>
      <c r="UIR378" t="str">
        <f>"628669010033"</f>
        <v>628669010033</v>
      </c>
      <c r="UIS378" t="str">
        <f>"0419671"</f>
        <v>0419671</v>
      </c>
      <c r="UIT378" t="s">
        <v>199</v>
      </c>
      <c r="UIU378" t="s">
        <v>25</v>
      </c>
      <c r="UIV378">
        <v>24</v>
      </c>
      <c r="UIW378">
        <v>0.05</v>
      </c>
      <c r="UIX378">
        <v>1</v>
      </c>
      <c r="UIY378" t="s">
        <v>531</v>
      </c>
      <c r="UIZ378" t="str">
        <f>"628669010033"</f>
        <v>628669010033</v>
      </c>
      <c r="UJA378" t="str">
        <f>"0419671"</f>
        <v>0419671</v>
      </c>
      <c r="UJB378" t="s">
        <v>199</v>
      </c>
      <c r="UJC378" t="s">
        <v>25</v>
      </c>
      <c r="UJD378">
        <v>24</v>
      </c>
      <c r="UJE378">
        <v>0.05</v>
      </c>
      <c r="UJF378">
        <v>1</v>
      </c>
      <c r="UJG378" t="s">
        <v>531</v>
      </c>
      <c r="UJH378" t="str">
        <f>"628669010033"</f>
        <v>628669010033</v>
      </c>
      <c r="UJI378" t="str">
        <f>"0419671"</f>
        <v>0419671</v>
      </c>
      <c r="UJJ378" t="s">
        <v>199</v>
      </c>
      <c r="UJK378" t="s">
        <v>25</v>
      </c>
      <c r="UJL378">
        <v>24</v>
      </c>
      <c r="UJM378">
        <v>0.05</v>
      </c>
      <c r="UJN378">
        <v>1</v>
      </c>
      <c r="UJO378" t="s">
        <v>531</v>
      </c>
      <c r="UJP378" t="str">
        <f>"628669010033"</f>
        <v>628669010033</v>
      </c>
      <c r="UJQ378" t="str">
        <f>"0419671"</f>
        <v>0419671</v>
      </c>
      <c r="UJR378" t="s">
        <v>199</v>
      </c>
      <c r="UJS378" t="s">
        <v>25</v>
      </c>
      <c r="UJT378">
        <v>24</v>
      </c>
      <c r="UJU378">
        <v>0.05</v>
      </c>
      <c r="UJV378">
        <v>1</v>
      </c>
      <c r="UJW378" t="s">
        <v>531</v>
      </c>
      <c r="UJX378" t="str">
        <f>"628669010033"</f>
        <v>628669010033</v>
      </c>
      <c r="UJY378" t="str">
        <f>"0419671"</f>
        <v>0419671</v>
      </c>
      <c r="UJZ378" t="s">
        <v>199</v>
      </c>
      <c r="UKA378" t="s">
        <v>25</v>
      </c>
      <c r="UKB378">
        <v>24</v>
      </c>
      <c r="UKC378">
        <v>0.05</v>
      </c>
      <c r="UKD378">
        <v>1</v>
      </c>
      <c r="UKE378" t="s">
        <v>531</v>
      </c>
      <c r="UKF378" t="str">
        <f>"628669010033"</f>
        <v>628669010033</v>
      </c>
      <c r="UKG378" t="str">
        <f>"0419671"</f>
        <v>0419671</v>
      </c>
      <c r="UKH378" t="s">
        <v>199</v>
      </c>
      <c r="UKI378" t="s">
        <v>25</v>
      </c>
      <c r="UKJ378">
        <v>24</v>
      </c>
      <c r="UKK378">
        <v>0.05</v>
      </c>
      <c r="UKL378">
        <v>1</v>
      </c>
      <c r="UKM378" t="s">
        <v>531</v>
      </c>
      <c r="UKN378" t="str">
        <f>"628669010033"</f>
        <v>628669010033</v>
      </c>
      <c r="UKO378" t="str">
        <f>"0419671"</f>
        <v>0419671</v>
      </c>
      <c r="UKP378" t="s">
        <v>199</v>
      </c>
      <c r="UKQ378" t="s">
        <v>25</v>
      </c>
      <c r="UKR378">
        <v>24</v>
      </c>
      <c r="UKS378">
        <v>0.05</v>
      </c>
      <c r="UKT378">
        <v>1</v>
      </c>
      <c r="UKU378" t="s">
        <v>531</v>
      </c>
      <c r="UKV378" t="str">
        <f>"628669010033"</f>
        <v>628669010033</v>
      </c>
      <c r="UKW378" t="str">
        <f>"0419671"</f>
        <v>0419671</v>
      </c>
      <c r="UKX378" t="s">
        <v>199</v>
      </c>
      <c r="UKY378" t="s">
        <v>25</v>
      </c>
      <c r="UKZ378">
        <v>24</v>
      </c>
      <c r="ULA378">
        <v>0.05</v>
      </c>
      <c r="ULB378">
        <v>1</v>
      </c>
      <c r="ULC378" t="s">
        <v>531</v>
      </c>
      <c r="ULD378" t="str">
        <f>"628669010033"</f>
        <v>628669010033</v>
      </c>
      <c r="ULE378" t="str">
        <f>"0419671"</f>
        <v>0419671</v>
      </c>
      <c r="ULF378" t="s">
        <v>199</v>
      </c>
      <c r="ULG378" t="s">
        <v>25</v>
      </c>
      <c r="ULH378">
        <v>24</v>
      </c>
      <c r="ULI378">
        <v>0.05</v>
      </c>
      <c r="ULJ378">
        <v>1</v>
      </c>
      <c r="ULK378" t="s">
        <v>531</v>
      </c>
      <c r="ULL378" t="str">
        <f>"628669010033"</f>
        <v>628669010033</v>
      </c>
      <c r="ULM378" t="str">
        <f>"0419671"</f>
        <v>0419671</v>
      </c>
      <c r="ULN378" t="s">
        <v>199</v>
      </c>
      <c r="ULO378" t="s">
        <v>25</v>
      </c>
      <c r="ULP378">
        <v>24</v>
      </c>
      <c r="ULQ378">
        <v>0.05</v>
      </c>
      <c r="ULR378">
        <v>1</v>
      </c>
      <c r="ULS378" t="s">
        <v>531</v>
      </c>
      <c r="ULT378" t="str">
        <f>"628669010033"</f>
        <v>628669010033</v>
      </c>
      <c r="ULU378" t="str">
        <f>"0419671"</f>
        <v>0419671</v>
      </c>
      <c r="ULV378" t="s">
        <v>199</v>
      </c>
      <c r="ULW378" t="s">
        <v>25</v>
      </c>
      <c r="ULX378">
        <v>24</v>
      </c>
      <c r="ULY378">
        <v>0.05</v>
      </c>
      <c r="ULZ378">
        <v>1</v>
      </c>
      <c r="UMA378" t="s">
        <v>531</v>
      </c>
      <c r="UMB378" t="str">
        <f>"628669010033"</f>
        <v>628669010033</v>
      </c>
      <c r="UMC378" t="str">
        <f>"0419671"</f>
        <v>0419671</v>
      </c>
      <c r="UMD378" t="s">
        <v>199</v>
      </c>
      <c r="UME378" t="s">
        <v>25</v>
      </c>
      <c r="UMF378">
        <v>24</v>
      </c>
      <c r="UMG378">
        <v>0.05</v>
      </c>
      <c r="UMH378">
        <v>1</v>
      </c>
      <c r="UMI378" t="s">
        <v>531</v>
      </c>
      <c r="UMJ378" t="str">
        <f>"628669010033"</f>
        <v>628669010033</v>
      </c>
      <c r="UMK378" t="str">
        <f>"0419671"</f>
        <v>0419671</v>
      </c>
      <c r="UML378" t="s">
        <v>199</v>
      </c>
      <c r="UMM378" t="s">
        <v>25</v>
      </c>
      <c r="UMN378">
        <v>24</v>
      </c>
      <c r="UMO378">
        <v>0.05</v>
      </c>
      <c r="UMP378">
        <v>1</v>
      </c>
      <c r="UMQ378" t="s">
        <v>531</v>
      </c>
      <c r="UMR378" t="str">
        <f>"628669010033"</f>
        <v>628669010033</v>
      </c>
      <c r="UMS378" t="str">
        <f>"0419671"</f>
        <v>0419671</v>
      </c>
      <c r="UMT378" t="s">
        <v>199</v>
      </c>
      <c r="UMU378" t="s">
        <v>25</v>
      </c>
      <c r="UMV378">
        <v>24</v>
      </c>
      <c r="UMW378">
        <v>0.05</v>
      </c>
      <c r="UMX378">
        <v>1</v>
      </c>
      <c r="UMY378" t="s">
        <v>531</v>
      </c>
      <c r="UMZ378" t="str">
        <f>"628669010033"</f>
        <v>628669010033</v>
      </c>
      <c r="UNA378" t="str">
        <f>"0419671"</f>
        <v>0419671</v>
      </c>
      <c r="UNB378" t="s">
        <v>199</v>
      </c>
      <c r="UNC378" t="s">
        <v>25</v>
      </c>
      <c r="UND378">
        <v>24</v>
      </c>
      <c r="UNE378">
        <v>0.05</v>
      </c>
      <c r="UNF378">
        <v>1</v>
      </c>
      <c r="UNG378" t="s">
        <v>531</v>
      </c>
      <c r="UNH378" t="str">
        <f>"628669010033"</f>
        <v>628669010033</v>
      </c>
      <c r="UNI378" t="str">
        <f>"0419671"</f>
        <v>0419671</v>
      </c>
      <c r="UNJ378" t="s">
        <v>199</v>
      </c>
      <c r="UNK378" t="s">
        <v>25</v>
      </c>
      <c r="UNL378">
        <v>24</v>
      </c>
      <c r="UNM378">
        <v>0.05</v>
      </c>
      <c r="UNN378">
        <v>1</v>
      </c>
      <c r="UNO378" t="s">
        <v>531</v>
      </c>
      <c r="UNP378" t="str">
        <f>"628669010033"</f>
        <v>628669010033</v>
      </c>
      <c r="UNQ378" t="str">
        <f>"0419671"</f>
        <v>0419671</v>
      </c>
      <c r="UNR378" t="s">
        <v>199</v>
      </c>
      <c r="UNS378" t="s">
        <v>25</v>
      </c>
      <c r="UNT378">
        <v>24</v>
      </c>
      <c r="UNU378">
        <v>0.05</v>
      </c>
      <c r="UNV378">
        <v>1</v>
      </c>
      <c r="UNW378" t="s">
        <v>531</v>
      </c>
      <c r="UNX378" t="str">
        <f>"628669010033"</f>
        <v>628669010033</v>
      </c>
      <c r="UNY378" t="str">
        <f>"0419671"</f>
        <v>0419671</v>
      </c>
      <c r="UNZ378" t="s">
        <v>199</v>
      </c>
      <c r="UOA378" t="s">
        <v>25</v>
      </c>
      <c r="UOB378">
        <v>24</v>
      </c>
      <c r="UOC378">
        <v>0.05</v>
      </c>
      <c r="UOD378">
        <v>1</v>
      </c>
      <c r="UOE378" t="s">
        <v>531</v>
      </c>
      <c r="UOF378" t="str">
        <f>"628669010033"</f>
        <v>628669010033</v>
      </c>
      <c r="UOG378" t="str">
        <f>"0419671"</f>
        <v>0419671</v>
      </c>
      <c r="UOH378" t="s">
        <v>199</v>
      </c>
      <c r="UOI378" t="s">
        <v>25</v>
      </c>
      <c r="UOJ378">
        <v>24</v>
      </c>
      <c r="UOK378">
        <v>0.05</v>
      </c>
      <c r="UOL378">
        <v>1</v>
      </c>
      <c r="UOM378" t="s">
        <v>531</v>
      </c>
      <c r="UON378" t="str">
        <f>"628669010033"</f>
        <v>628669010033</v>
      </c>
      <c r="UOO378" t="str">
        <f>"0419671"</f>
        <v>0419671</v>
      </c>
      <c r="UOP378" t="s">
        <v>199</v>
      </c>
      <c r="UOQ378" t="s">
        <v>25</v>
      </c>
      <c r="UOR378">
        <v>24</v>
      </c>
      <c r="UOS378">
        <v>0.05</v>
      </c>
      <c r="UOT378">
        <v>1</v>
      </c>
      <c r="UOU378" t="s">
        <v>531</v>
      </c>
      <c r="UOV378" t="str">
        <f>"628669010033"</f>
        <v>628669010033</v>
      </c>
      <c r="UOW378" t="str">
        <f>"0419671"</f>
        <v>0419671</v>
      </c>
      <c r="UOX378" t="s">
        <v>199</v>
      </c>
      <c r="UOY378" t="s">
        <v>25</v>
      </c>
      <c r="UOZ378">
        <v>24</v>
      </c>
      <c r="UPA378">
        <v>0.05</v>
      </c>
      <c r="UPB378">
        <v>1</v>
      </c>
      <c r="UPC378" t="s">
        <v>531</v>
      </c>
      <c r="UPD378" t="str">
        <f>"628669010033"</f>
        <v>628669010033</v>
      </c>
      <c r="UPE378" t="str">
        <f>"0419671"</f>
        <v>0419671</v>
      </c>
      <c r="UPF378" t="s">
        <v>199</v>
      </c>
      <c r="UPG378" t="s">
        <v>25</v>
      </c>
      <c r="UPH378">
        <v>24</v>
      </c>
      <c r="UPI378">
        <v>0.05</v>
      </c>
      <c r="UPJ378">
        <v>1</v>
      </c>
      <c r="UPK378" t="s">
        <v>531</v>
      </c>
      <c r="UPL378" t="str">
        <f>"628669010033"</f>
        <v>628669010033</v>
      </c>
      <c r="UPM378" t="str">
        <f>"0419671"</f>
        <v>0419671</v>
      </c>
      <c r="UPN378" t="s">
        <v>199</v>
      </c>
      <c r="UPO378" t="s">
        <v>25</v>
      </c>
      <c r="UPP378">
        <v>24</v>
      </c>
      <c r="UPQ378">
        <v>0.05</v>
      </c>
      <c r="UPR378">
        <v>1</v>
      </c>
      <c r="UPS378" t="s">
        <v>531</v>
      </c>
      <c r="UPT378" t="str">
        <f>"628669010033"</f>
        <v>628669010033</v>
      </c>
      <c r="UPU378" t="str">
        <f>"0419671"</f>
        <v>0419671</v>
      </c>
      <c r="UPV378" t="s">
        <v>199</v>
      </c>
      <c r="UPW378" t="s">
        <v>25</v>
      </c>
      <c r="UPX378">
        <v>24</v>
      </c>
      <c r="UPY378">
        <v>0.05</v>
      </c>
      <c r="UPZ378">
        <v>1</v>
      </c>
      <c r="UQA378" t="s">
        <v>531</v>
      </c>
      <c r="UQB378" t="str">
        <f>"628669010033"</f>
        <v>628669010033</v>
      </c>
      <c r="UQC378" t="str">
        <f>"0419671"</f>
        <v>0419671</v>
      </c>
      <c r="UQD378" t="s">
        <v>199</v>
      </c>
      <c r="UQE378" t="s">
        <v>25</v>
      </c>
      <c r="UQF378">
        <v>24</v>
      </c>
      <c r="UQG378">
        <v>0.05</v>
      </c>
      <c r="UQH378">
        <v>1</v>
      </c>
      <c r="UQI378" t="s">
        <v>531</v>
      </c>
      <c r="UQJ378" t="str">
        <f>"628669010033"</f>
        <v>628669010033</v>
      </c>
      <c r="UQK378" t="str">
        <f>"0419671"</f>
        <v>0419671</v>
      </c>
      <c r="UQL378" t="s">
        <v>199</v>
      </c>
      <c r="UQM378" t="s">
        <v>25</v>
      </c>
      <c r="UQN378">
        <v>24</v>
      </c>
      <c r="UQO378">
        <v>0.05</v>
      </c>
      <c r="UQP378">
        <v>1</v>
      </c>
      <c r="UQQ378" t="s">
        <v>531</v>
      </c>
      <c r="UQR378" t="str">
        <f>"628669010033"</f>
        <v>628669010033</v>
      </c>
      <c r="UQS378" t="str">
        <f>"0419671"</f>
        <v>0419671</v>
      </c>
      <c r="UQT378" t="s">
        <v>199</v>
      </c>
      <c r="UQU378" t="s">
        <v>25</v>
      </c>
      <c r="UQV378">
        <v>24</v>
      </c>
      <c r="UQW378">
        <v>0.05</v>
      </c>
      <c r="UQX378">
        <v>1</v>
      </c>
      <c r="UQY378" t="s">
        <v>531</v>
      </c>
      <c r="UQZ378" t="str">
        <f>"628669010033"</f>
        <v>628669010033</v>
      </c>
      <c r="URA378" t="str">
        <f>"0419671"</f>
        <v>0419671</v>
      </c>
      <c r="URB378" t="s">
        <v>199</v>
      </c>
      <c r="URC378" t="s">
        <v>25</v>
      </c>
      <c r="URD378">
        <v>24</v>
      </c>
      <c r="URE378">
        <v>0.05</v>
      </c>
      <c r="URF378">
        <v>1</v>
      </c>
      <c r="URG378" t="s">
        <v>531</v>
      </c>
      <c r="URH378" t="str">
        <f>"628669010033"</f>
        <v>628669010033</v>
      </c>
      <c r="URI378" t="str">
        <f>"0419671"</f>
        <v>0419671</v>
      </c>
      <c r="URJ378" t="s">
        <v>199</v>
      </c>
      <c r="URK378" t="s">
        <v>25</v>
      </c>
      <c r="URL378">
        <v>24</v>
      </c>
      <c r="URM378">
        <v>0.05</v>
      </c>
      <c r="URN378">
        <v>1</v>
      </c>
      <c r="URO378" t="s">
        <v>531</v>
      </c>
      <c r="URP378" t="str">
        <f>"628669010033"</f>
        <v>628669010033</v>
      </c>
      <c r="URQ378" t="str">
        <f>"0419671"</f>
        <v>0419671</v>
      </c>
      <c r="URR378" t="s">
        <v>199</v>
      </c>
      <c r="URS378" t="s">
        <v>25</v>
      </c>
      <c r="URT378">
        <v>24</v>
      </c>
      <c r="URU378">
        <v>0.05</v>
      </c>
      <c r="URV378">
        <v>1</v>
      </c>
      <c r="URW378" t="s">
        <v>531</v>
      </c>
      <c r="URX378" t="str">
        <f>"628669010033"</f>
        <v>628669010033</v>
      </c>
      <c r="URY378" t="str">
        <f>"0419671"</f>
        <v>0419671</v>
      </c>
      <c r="URZ378" t="s">
        <v>199</v>
      </c>
      <c r="USA378" t="s">
        <v>25</v>
      </c>
      <c r="USB378">
        <v>24</v>
      </c>
      <c r="USC378">
        <v>0.05</v>
      </c>
      <c r="USD378">
        <v>1</v>
      </c>
      <c r="USE378" t="s">
        <v>531</v>
      </c>
      <c r="USF378" t="str">
        <f>"628669010033"</f>
        <v>628669010033</v>
      </c>
      <c r="USG378" t="str">
        <f>"0419671"</f>
        <v>0419671</v>
      </c>
      <c r="USH378" t="s">
        <v>199</v>
      </c>
      <c r="USI378" t="s">
        <v>25</v>
      </c>
      <c r="USJ378">
        <v>24</v>
      </c>
      <c r="USK378">
        <v>0.05</v>
      </c>
      <c r="USL378">
        <v>1</v>
      </c>
      <c r="USM378" t="s">
        <v>531</v>
      </c>
      <c r="USN378" t="str">
        <f>"628669010033"</f>
        <v>628669010033</v>
      </c>
      <c r="USO378" t="str">
        <f>"0419671"</f>
        <v>0419671</v>
      </c>
      <c r="USP378" t="s">
        <v>199</v>
      </c>
      <c r="USQ378" t="s">
        <v>25</v>
      </c>
      <c r="USR378">
        <v>24</v>
      </c>
      <c r="USS378">
        <v>0.05</v>
      </c>
      <c r="UST378">
        <v>1</v>
      </c>
      <c r="USU378" t="s">
        <v>531</v>
      </c>
      <c r="USV378" t="str">
        <f>"628669010033"</f>
        <v>628669010033</v>
      </c>
      <c r="USW378" t="str">
        <f>"0419671"</f>
        <v>0419671</v>
      </c>
      <c r="USX378" t="s">
        <v>199</v>
      </c>
      <c r="USY378" t="s">
        <v>25</v>
      </c>
      <c r="USZ378">
        <v>24</v>
      </c>
      <c r="UTA378">
        <v>0.05</v>
      </c>
      <c r="UTB378">
        <v>1</v>
      </c>
      <c r="UTC378" t="s">
        <v>531</v>
      </c>
      <c r="UTD378" t="str">
        <f>"628669010033"</f>
        <v>628669010033</v>
      </c>
      <c r="UTE378" t="str">
        <f>"0419671"</f>
        <v>0419671</v>
      </c>
      <c r="UTF378" t="s">
        <v>199</v>
      </c>
      <c r="UTG378" t="s">
        <v>25</v>
      </c>
      <c r="UTH378">
        <v>24</v>
      </c>
      <c r="UTI378">
        <v>0.05</v>
      </c>
      <c r="UTJ378">
        <v>1</v>
      </c>
      <c r="UTK378" t="s">
        <v>531</v>
      </c>
      <c r="UTL378" t="str">
        <f>"628669010033"</f>
        <v>628669010033</v>
      </c>
      <c r="UTM378" t="str">
        <f>"0419671"</f>
        <v>0419671</v>
      </c>
      <c r="UTN378" t="s">
        <v>199</v>
      </c>
      <c r="UTO378" t="s">
        <v>25</v>
      </c>
      <c r="UTP378">
        <v>24</v>
      </c>
      <c r="UTQ378">
        <v>0.05</v>
      </c>
      <c r="UTR378">
        <v>1</v>
      </c>
      <c r="UTS378" t="s">
        <v>531</v>
      </c>
      <c r="UTT378" t="str">
        <f>"628669010033"</f>
        <v>628669010033</v>
      </c>
      <c r="UTU378" t="str">
        <f>"0419671"</f>
        <v>0419671</v>
      </c>
      <c r="UTV378" t="s">
        <v>199</v>
      </c>
      <c r="UTW378" t="s">
        <v>25</v>
      </c>
      <c r="UTX378">
        <v>24</v>
      </c>
      <c r="UTY378">
        <v>0.05</v>
      </c>
      <c r="UTZ378">
        <v>1</v>
      </c>
      <c r="UUA378" t="s">
        <v>531</v>
      </c>
      <c r="UUB378" t="str">
        <f>"628669010033"</f>
        <v>628669010033</v>
      </c>
      <c r="UUC378" t="str">
        <f>"0419671"</f>
        <v>0419671</v>
      </c>
      <c r="UUD378" t="s">
        <v>199</v>
      </c>
      <c r="UUE378" t="s">
        <v>25</v>
      </c>
      <c r="UUF378">
        <v>24</v>
      </c>
      <c r="UUG378">
        <v>0.05</v>
      </c>
      <c r="UUH378">
        <v>1</v>
      </c>
      <c r="UUI378" t="s">
        <v>531</v>
      </c>
      <c r="UUJ378" t="str">
        <f>"628669010033"</f>
        <v>628669010033</v>
      </c>
      <c r="UUK378" t="str">
        <f>"0419671"</f>
        <v>0419671</v>
      </c>
      <c r="UUL378" t="s">
        <v>199</v>
      </c>
      <c r="UUM378" t="s">
        <v>25</v>
      </c>
      <c r="UUN378">
        <v>24</v>
      </c>
      <c r="UUO378">
        <v>0.05</v>
      </c>
      <c r="UUP378">
        <v>1</v>
      </c>
      <c r="UUQ378" t="s">
        <v>531</v>
      </c>
      <c r="UUR378" t="str">
        <f>"628669010033"</f>
        <v>628669010033</v>
      </c>
      <c r="UUS378" t="str">
        <f>"0419671"</f>
        <v>0419671</v>
      </c>
      <c r="UUT378" t="s">
        <v>199</v>
      </c>
      <c r="UUU378" t="s">
        <v>25</v>
      </c>
      <c r="UUV378">
        <v>24</v>
      </c>
      <c r="UUW378">
        <v>0.05</v>
      </c>
      <c r="UUX378">
        <v>1</v>
      </c>
      <c r="UUY378" t="s">
        <v>531</v>
      </c>
      <c r="UUZ378" t="str">
        <f>"628669010033"</f>
        <v>628669010033</v>
      </c>
      <c r="UVA378" t="str">
        <f>"0419671"</f>
        <v>0419671</v>
      </c>
      <c r="UVB378" t="s">
        <v>199</v>
      </c>
      <c r="UVC378" t="s">
        <v>25</v>
      </c>
      <c r="UVD378">
        <v>24</v>
      </c>
      <c r="UVE378">
        <v>0.05</v>
      </c>
      <c r="UVF378">
        <v>1</v>
      </c>
      <c r="UVG378" t="s">
        <v>531</v>
      </c>
      <c r="UVH378" t="str">
        <f>"628669010033"</f>
        <v>628669010033</v>
      </c>
      <c r="UVI378" t="str">
        <f>"0419671"</f>
        <v>0419671</v>
      </c>
      <c r="UVJ378" t="s">
        <v>199</v>
      </c>
      <c r="UVK378" t="s">
        <v>25</v>
      </c>
      <c r="UVL378">
        <v>24</v>
      </c>
      <c r="UVM378">
        <v>0.05</v>
      </c>
      <c r="UVN378">
        <v>1</v>
      </c>
      <c r="UVO378" t="s">
        <v>531</v>
      </c>
      <c r="UVP378" t="str">
        <f>"628669010033"</f>
        <v>628669010033</v>
      </c>
      <c r="UVQ378" t="str">
        <f>"0419671"</f>
        <v>0419671</v>
      </c>
      <c r="UVR378" t="s">
        <v>199</v>
      </c>
      <c r="UVS378" t="s">
        <v>25</v>
      </c>
      <c r="UVT378">
        <v>24</v>
      </c>
      <c r="UVU378">
        <v>0.05</v>
      </c>
      <c r="UVV378">
        <v>1</v>
      </c>
      <c r="UVW378" t="s">
        <v>531</v>
      </c>
      <c r="UVX378" t="str">
        <f>"628669010033"</f>
        <v>628669010033</v>
      </c>
      <c r="UVY378" t="str">
        <f>"0419671"</f>
        <v>0419671</v>
      </c>
      <c r="UVZ378" t="s">
        <v>199</v>
      </c>
      <c r="UWA378" t="s">
        <v>25</v>
      </c>
      <c r="UWB378">
        <v>24</v>
      </c>
      <c r="UWC378">
        <v>0.05</v>
      </c>
      <c r="UWD378">
        <v>1</v>
      </c>
      <c r="UWE378" t="s">
        <v>531</v>
      </c>
      <c r="UWF378" t="str">
        <f>"628669010033"</f>
        <v>628669010033</v>
      </c>
      <c r="UWG378" t="str">
        <f>"0419671"</f>
        <v>0419671</v>
      </c>
      <c r="UWH378" t="s">
        <v>199</v>
      </c>
      <c r="UWI378" t="s">
        <v>25</v>
      </c>
      <c r="UWJ378">
        <v>24</v>
      </c>
      <c r="UWK378">
        <v>0.05</v>
      </c>
      <c r="UWL378">
        <v>1</v>
      </c>
      <c r="UWM378" t="s">
        <v>531</v>
      </c>
      <c r="UWN378" t="str">
        <f>"628669010033"</f>
        <v>628669010033</v>
      </c>
      <c r="UWO378" t="str">
        <f>"0419671"</f>
        <v>0419671</v>
      </c>
      <c r="UWP378" t="s">
        <v>199</v>
      </c>
      <c r="UWQ378" t="s">
        <v>25</v>
      </c>
      <c r="UWR378">
        <v>24</v>
      </c>
      <c r="UWS378">
        <v>0.05</v>
      </c>
      <c r="UWT378">
        <v>1</v>
      </c>
      <c r="UWU378" t="s">
        <v>531</v>
      </c>
      <c r="UWV378" t="str">
        <f>"628669010033"</f>
        <v>628669010033</v>
      </c>
      <c r="UWW378" t="str">
        <f>"0419671"</f>
        <v>0419671</v>
      </c>
      <c r="UWX378" t="s">
        <v>199</v>
      </c>
      <c r="UWY378" t="s">
        <v>25</v>
      </c>
      <c r="UWZ378">
        <v>24</v>
      </c>
      <c r="UXA378">
        <v>0.05</v>
      </c>
      <c r="UXB378">
        <v>1</v>
      </c>
      <c r="UXC378" t="s">
        <v>531</v>
      </c>
      <c r="UXD378" t="str">
        <f>"628669010033"</f>
        <v>628669010033</v>
      </c>
      <c r="UXE378" t="str">
        <f>"0419671"</f>
        <v>0419671</v>
      </c>
      <c r="UXF378" t="s">
        <v>199</v>
      </c>
      <c r="UXG378" t="s">
        <v>25</v>
      </c>
      <c r="UXH378">
        <v>24</v>
      </c>
      <c r="UXI378">
        <v>0.05</v>
      </c>
      <c r="UXJ378">
        <v>1</v>
      </c>
      <c r="UXK378" t="s">
        <v>531</v>
      </c>
      <c r="UXL378" t="str">
        <f>"628669010033"</f>
        <v>628669010033</v>
      </c>
      <c r="UXM378" t="str">
        <f>"0419671"</f>
        <v>0419671</v>
      </c>
      <c r="UXN378" t="s">
        <v>199</v>
      </c>
      <c r="UXO378" t="s">
        <v>25</v>
      </c>
      <c r="UXP378">
        <v>24</v>
      </c>
      <c r="UXQ378">
        <v>0.05</v>
      </c>
      <c r="UXR378">
        <v>1</v>
      </c>
      <c r="UXS378" t="s">
        <v>531</v>
      </c>
      <c r="UXT378" t="str">
        <f>"628669010033"</f>
        <v>628669010033</v>
      </c>
      <c r="UXU378" t="str">
        <f>"0419671"</f>
        <v>0419671</v>
      </c>
      <c r="UXV378" t="s">
        <v>199</v>
      </c>
      <c r="UXW378" t="s">
        <v>25</v>
      </c>
      <c r="UXX378">
        <v>24</v>
      </c>
      <c r="UXY378">
        <v>0.05</v>
      </c>
      <c r="UXZ378">
        <v>1</v>
      </c>
      <c r="UYA378" t="s">
        <v>531</v>
      </c>
      <c r="UYB378" t="str">
        <f>"628669010033"</f>
        <v>628669010033</v>
      </c>
      <c r="UYC378" t="str">
        <f>"0419671"</f>
        <v>0419671</v>
      </c>
      <c r="UYD378" t="s">
        <v>199</v>
      </c>
      <c r="UYE378" t="s">
        <v>25</v>
      </c>
      <c r="UYF378">
        <v>24</v>
      </c>
      <c r="UYG378">
        <v>0.05</v>
      </c>
      <c r="UYH378">
        <v>1</v>
      </c>
      <c r="UYI378" t="s">
        <v>531</v>
      </c>
      <c r="UYJ378" t="str">
        <f>"628669010033"</f>
        <v>628669010033</v>
      </c>
      <c r="UYK378" t="str">
        <f>"0419671"</f>
        <v>0419671</v>
      </c>
      <c r="UYL378" t="s">
        <v>199</v>
      </c>
      <c r="UYM378" t="s">
        <v>25</v>
      </c>
      <c r="UYN378">
        <v>24</v>
      </c>
      <c r="UYO378">
        <v>0.05</v>
      </c>
      <c r="UYP378">
        <v>1</v>
      </c>
      <c r="UYQ378" t="s">
        <v>531</v>
      </c>
      <c r="UYR378" t="str">
        <f>"628669010033"</f>
        <v>628669010033</v>
      </c>
      <c r="UYS378" t="str">
        <f>"0419671"</f>
        <v>0419671</v>
      </c>
      <c r="UYT378" t="s">
        <v>199</v>
      </c>
      <c r="UYU378" t="s">
        <v>25</v>
      </c>
      <c r="UYV378">
        <v>24</v>
      </c>
      <c r="UYW378">
        <v>0.05</v>
      </c>
      <c r="UYX378">
        <v>1</v>
      </c>
      <c r="UYY378" t="s">
        <v>531</v>
      </c>
      <c r="UYZ378" t="str">
        <f>"628669010033"</f>
        <v>628669010033</v>
      </c>
      <c r="UZA378" t="str">
        <f>"0419671"</f>
        <v>0419671</v>
      </c>
      <c r="UZB378" t="s">
        <v>199</v>
      </c>
      <c r="UZC378" t="s">
        <v>25</v>
      </c>
      <c r="UZD378">
        <v>24</v>
      </c>
      <c r="UZE378">
        <v>0.05</v>
      </c>
      <c r="UZF378">
        <v>1</v>
      </c>
      <c r="UZG378" t="s">
        <v>531</v>
      </c>
      <c r="UZH378" t="str">
        <f>"628669010033"</f>
        <v>628669010033</v>
      </c>
      <c r="UZI378" t="str">
        <f>"0419671"</f>
        <v>0419671</v>
      </c>
      <c r="UZJ378" t="s">
        <v>199</v>
      </c>
      <c r="UZK378" t="s">
        <v>25</v>
      </c>
      <c r="UZL378">
        <v>24</v>
      </c>
      <c r="UZM378">
        <v>0.05</v>
      </c>
      <c r="UZN378">
        <v>1</v>
      </c>
      <c r="UZO378" t="s">
        <v>531</v>
      </c>
      <c r="UZP378" t="str">
        <f>"628669010033"</f>
        <v>628669010033</v>
      </c>
      <c r="UZQ378" t="str">
        <f>"0419671"</f>
        <v>0419671</v>
      </c>
      <c r="UZR378" t="s">
        <v>199</v>
      </c>
      <c r="UZS378" t="s">
        <v>25</v>
      </c>
      <c r="UZT378">
        <v>24</v>
      </c>
      <c r="UZU378">
        <v>0.05</v>
      </c>
      <c r="UZV378">
        <v>1</v>
      </c>
      <c r="UZW378" t="s">
        <v>531</v>
      </c>
      <c r="UZX378" t="str">
        <f>"628669010033"</f>
        <v>628669010033</v>
      </c>
      <c r="UZY378" t="str">
        <f>"0419671"</f>
        <v>0419671</v>
      </c>
      <c r="UZZ378" t="s">
        <v>199</v>
      </c>
      <c r="VAA378" t="s">
        <v>25</v>
      </c>
      <c r="VAB378">
        <v>24</v>
      </c>
      <c r="VAC378">
        <v>0.05</v>
      </c>
      <c r="VAD378">
        <v>1</v>
      </c>
      <c r="VAE378" t="s">
        <v>531</v>
      </c>
      <c r="VAF378" t="str">
        <f>"628669010033"</f>
        <v>628669010033</v>
      </c>
      <c r="VAG378" t="str">
        <f>"0419671"</f>
        <v>0419671</v>
      </c>
      <c r="VAH378" t="s">
        <v>199</v>
      </c>
      <c r="VAI378" t="s">
        <v>25</v>
      </c>
      <c r="VAJ378">
        <v>24</v>
      </c>
      <c r="VAK378">
        <v>0.05</v>
      </c>
      <c r="VAL378">
        <v>1</v>
      </c>
      <c r="VAM378" t="s">
        <v>531</v>
      </c>
      <c r="VAN378" t="str">
        <f>"628669010033"</f>
        <v>628669010033</v>
      </c>
      <c r="VAO378" t="str">
        <f>"0419671"</f>
        <v>0419671</v>
      </c>
      <c r="VAP378" t="s">
        <v>199</v>
      </c>
      <c r="VAQ378" t="s">
        <v>25</v>
      </c>
      <c r="VAR378">
        <v>24</v>
      </c>
      <c r="VAS378">
        <v>0.05</v>
      </c>
      <c r="VAT378">
        <v>1</v>
      </c>
      <c r="VAU378" t="s">
        <v>531</v>
      </c>
      <c r="VAV378" t="str">
        <f>"628669010033"</f>
        <v>628669010033</v>
      </c>
      <c r="VAW378" t="str">
        <f>"0419671"</f>
        <v>0419671</v>
      </c>
      <c r="VAX378" t="s">
        <v>199</v>
      </c>
      <c r="VAY378" t="s">
        <v>25</v>
      </c>
      <c r="VAZ378">
        <v>24</v>
      </c>
      <c r="VBA378">
        <v>0.05</v>
      </c>
      <c r="VBB378">
        <v>1</v>
      </c>
      <c r="VBC378" t="s">
        <v>531</v>
      </c>
      <c r="VBD378" t="str">
        <f>"628669010033"</f>
        <v>628669010033</v>
      </c>
      <c r="VBE378" t="str">
        <f>"0419671"</f>
        <v>0419671</v>
      </c>
      <c r="VBF378" t="s">
        <v>199</v>
      </c>
      <c r="VBG378" t="s">
        <v>25</v>
      </c>
      <c r="VBH378">
        <v>24</v>
      </c>
      <c r="VBI378">
        <v>0.05</v>
      </c>
      <c r="VBJ378">
        <v>1</v>
      </c>
      <c r="VBK378" t="s">
        <v>531</v>
      </c>
      <c r="VBL378" t="str">
        <f>"628669010033"</f>
        <v>628669010033</v>
      </c>
      <c r="VBM378" t="str">
        <f>"0419671"</f>
        <v>0419671</v>
      </c>
      <c r="VBN378" t="s">
        <v>199</v>
      </c>
      <c r="VBO378" t="s">
        <v>25</v>
      </c>
      <c r="VBP378">
        <v>24</v>
      </c>
      <c r="VBQ378">
        <v>0.05</v>
      </c>
      <c r="VBR378">
        <v>1</v>
      </c>
      <c r="VBS378" t="s">
        <v>531</v>
      </c>
      <c r="VBT378" t="str">
        <f>"628669010033"</f>
        <v>628669010033</v>
      </c>
      <c r="VBU378" t="str">
        <f>"0419671"</f>
        <v>0419671</v>
      </c>
      <c r="VBV378" t="s">
        <v>199</v>
      </c>
      <c r="VBW378" t="s">
        <v>25</v>
      </c>
      <c r="VBX378">
        <v>24</v>
      </c>
      <c r="VBY378">
        <v>0.05</v>
      </c>
      <c r="VBZ378">
        <v>1</v>
      </c>
      <c r="VCA378" t="s">
        <v>531</v>
      </c>
      <c r="VCB378" t="str">
        <f>"628669010033"</f>
        <v>628669010033</v>
      </c>
      <c r="VCC378" t="str">
        <f>"0419671"</f>
        <v>0419671</v>
      </c>
      <c r="VCD378" t="s">
        <v>199</v>
      </c>
      <c r="VCE378" t="s">
        <v>25</v>
      </c>
      <c r="VCF378">
        <v>24</v>
      </c>
      <c r="VCG378">
        <v>0.05</v>
      </c>
      <c r="VCH378">
        <v>1</v>
      </c>
      <c r="VCI378" t="s">
        <v>531</v>
      </c>
      <c r="VCJ378" t="str">
        <f>"628669010033"</f>
        <v>628669010033</v>
      </c>
      <c r="VCK378" t="str">
        <f>"0419671"</f>
        <v>0419671</v>
      </c>
      <c r="VCL378" t="s">
        <v>199</v>
      </c>
      <c r="VCM378" t="s">
        <v>25</v>
      </c>
      <c r="VCN378">
        <v>24</v>
      </c>
      <c r="VCO378">
        <v>0.05</v>
      </c>
      <c r="VCP378">
        <v>1</v>
      </c>
      <c r="VCQ378" t="s">
        <v>531</v>
      </c>
      <c r="VCR378" t="str">
        <f>"628669010033"</f>
        <v>628669010033</v>
      </c>
      <c r="VCS378" t="str">
        <f>"0419671"</f>
        <v>0419671</v>
      </c>
      <c r="VCT378" t="s">
        <v>199</v>
      </c>
      <c r="VCU378" t="s">
        <v>25</v>
      </c>
      <c r="VCV378">
        <v>24</v>
      </c>
      <c r="VCW378">
        <v>0.05</v>
      </c>
      <c r="VCX378">
        <v>1</v>
      </c>
      <c r="VCY378" t="s">
        <v>531</v>
      </c>
      <c r="VCZ378" t="str">
        <f>"628669010033"</f>
        <v>628669010033</v>
      </c>
      <c r="VDA378" t="str">
        <f>"0419671"</f>
        <v>0419671</v>
      </c>
      <c r="VDB378" t="s">
        <v>199</v>
      </c>
      <c r="VDC378" t="s">
        <v>25</v>
      </c>
      <c r="VDD378">
        <v>24</v>
      </c>
      <c r="VDE378">
        <v>0.05</v>
      </c>
      <c r="VDF378">
        <v>1</v>
      </c>
      <c r="VDG378" t="s">
        <v>531</v>
      </c>
      <c r="VDH378" t="str">
        <f>"628669010033"</f>
        <v>628669010033</v>
      </c>
      <c r="VDI378" t="str">
        <f>"0419671"</f>
        <v>0419671</v>
      </c>
      <c r="VDJ378" t="s">
        <v>199</v>
      </c>
      <c r="VDK378" t="s">
        <v>25</v>
      </c>
      <c r="VDL378">
        <v>24</v>
      </c>
      <c r="VDM378">
        <v>0.05</v>
      </c>
      <c r="VDN378">
        <v>1</v>
      </c>
      <c r="VDO378" t="s">
        <v>531</v>
      </c>
      <c r="VDP378" t="str">
        <f>"628669010033"</f>
        <v>628669010033</v>
      </c>
      <c r="VDQ378" t="str">
        <f>"0419671"</f>
        <v>0419671</v>
      </c>
      <c r="VDR378" t="s">
        <v>199</v>
      </c>
      <c r="VDS378" t="s">
        <v>25</v>
      </c>
      <c r="VDT378">
        <v>24</v>
      </c>
      <c r="VDU378">
        <v>0.05</v>
      </c>
      <c r="VDV378">
        <v>1</v>
      </c>
      <c r="VDW378" t="s">
        <v>531</v>
      </c>
      <c r="VDX378" t="str">
        <f>"628669010033"</f>
        <v>628669010033</v>
      </c>
      <c r="VDY378" t="str">
        <f>"0419671"</f>
        <v>0419671</v>
      </c>
      <c r="VDZ378" t="s">
        <v>199</v>
      </c>
      <c r="VEA378" t="s">
        <v>25</v>
      </c>
      <c r="VEB378">
        <v>24</v>
      </c>
      <c r="VEC378">
        <v>0.05</v>
      </c>
      <c r="VED378">
        <v>1</v>
      </c>
      <c r="VEE378" t="s">
        <v>531</v>
      </c>
      <c r="VEF378" t="str">
        <f>"628669010033"</f>
        <v>628669010033</v>
      </c>
      <c r="VEG378" t="str">
        <f>"0419671"</f>
        <v>0419671</v>
      </c>
      <c r="VEH378" t="s">
        <v>199</v>
      </c>
      <c r="VEI378" t="s">
        <v>25</v>
      </c>
      <c r="VEJ378">
        <v>24</v>
      </c>
      <c r="VEK378">
        <v>0.05</v>
      </c>
      <c r="VEL378">
        <v>1</v>
      </c>
      <c r="VEM378" t="s">
        <v>531</v>
      </c>
      <c r="VEN378" t="str">
        <f>"628669010033"</f>
        <v>628669010033</v>
      </c>
      <c r="VEO378" t="str">
        <f>"0419671"</f>
        <v>0419671</v>
      </c>
      <c r="VEP378" t="s">
        <v>199</v>
      </c>
      <c r="VEQ378" t="s">
        <v>25</v>
      </c>
      <c r="VER378">
        <v>24</v>
      </c>
      <c r="VES378">
        <v>0.05</v>
      </c>
      <c r="VET378">
        <v>1</v>
      </c>
      <c r="VEU378" t="s">
        <v>531</v>
      </c>
      <c r="VEV378" t="str">
        <f>"628669010033"</f>
        <v>628669010033</v>
      </c>
      <c r="VEW378" t="str">
        <f>"0419671"</f>
        <v>0419671</v>
      </c>
      <c r="VEX378" t="s">
        <v>199</v>
      </c>
      <c r="VEY378" t="s">
        <v>25</v>
      </c>
      <c r="VEZ378">
        <v>24</v>
      </c>
      <c r="VFA378">
        <v>0.05</v>
      </c>
      <c r="VFB378">
        <v>1</v>
      </c>
      <c r="VFC378" t="s">
        <v>531</v>
      </c>
      <c r="VFD378" t="str">
        <f>"628669010033"</f>
        <v>628669010033</v>
      </c>
      <c r="VFE378" t="str">
        <f>"0419671"</f>
        <v>0419671</v>
      </c>
      <c r="VFF378" t="s">
        <v>199</v>
      </c>
      <c r="VFG378" t="s">
        <v>25</v>
      </c>
      <c r="VFH378">
        <v>24</v>
      </c>
      <c r="VFI378">
        <v>0.05</v>
      </c>
      <c r="VFJ378">
        <v>1</v>
      </c>
      <c r="VFK378" t="s">
        <v>531</v>
      </c>
      <c r="VFL378" t="str">
        <f>"628669010033"</f>
        <v>628669010033</v>
      </c>
      <c r="VFM378" t="str">
        <f>"0419671"</f>
        <v>0419671</v>
      </c>
      <c r="VFN378" t="s">
        <v>199</v>
      </c>
      <c r="VFO378" t="s">
        <v>25</v>
      </c>
      <c r="VFP378">
        <v>24</v>
      </c>
      <c r="VFQ378">
        <v>0.05</v>
      </c>
      <c r="VFR378">
        <v>1</v>
      </c>
      <c r="VFS378" t="s">
        <v>531</v>
      </c>
      <c r="VFT378" t="str">
        <f>"628669010033"</f>
        <v>628669010033</v>
      </c>
      <c r="VFU378" t="str">
        <f>"0419671"</f>
        <v>0419671</v>
      </c>
      <c r="VFV378" t="s">
        <v>199</v>
      </c>
      <c r="VFW378" t="s">
        <v>25</v>
      </c>
      <c r="VFX378">
        <v>24</v>
      </c>
      <c r="VFY378">
        <v>0.05</v>
      </c>
      <c r="VFZ378">
        <v>1</v>
      </c>
      <c r="VGA378" t="s">
        <v>531</v>
      </c>
      <c r="VGB378" t="str">
        <f>"628669010033"</f>
        <v>628669010033</v>
      </c>
      <c r="VGC378" t="str">
        <f>"0419671"</f>
        <v>0419671</v>
      </c>
      <c r="VGD378" t="s">
        <v>199</v>
      </c>
      <c r="VGE378" t="s">
        <v>25</v>
      </c>
      <c r="VGF378">
        <v>24</v>
      </c>
      <c r="VGG378">
        <v>0.05</v>
      </c>
      <c r="VGH378">
        <v>1</v>
      </c>
      <c r="VGI378" t="s">
        <v>531</v>
      </c>
      <c r="VGJ378" t="str">
        <f>"628669010033"</f>
        <v>628669010033</v>
      </c>
      <c r="VGK378" t="str">
        <f>"0419671"</f>
        <v>0419671</v>
      </c>
      <c r="VGL378" t="s">
        <v>199</v>
      </c>
      <c r="VGM378" t="s">
        <v>25</v>
      </c>
      <c r="VGN378">
        <v>24</v>
      </c>
      <c r="VGO378">
        <v>0.05</v>
      </c>
      <c r="VGP378">
        <v>1</v>
      </c>
      <c r="VGQ378" t="s">
        <v>531</v>
      </c>
      <c r="VGR378" t="str">
        <f>"628669010033"</f>
        <v>628669010033</v>
      </c>
      <c r="VGS378" t="str">
        <f>"0419671"</f>
        <v>0419671</v>
      </c>
      <c r="VGT378" t="s">
        <v>199</v>
      </c>
      <c r="VGU378" t="s">
        <v>25</v>
      </c>
      <c r="VGV378">
        <v>24</v>
      </c>
      <c r="VGW378">
        <v>0.05</v>
      </c>
      <c r="VGX378">
        <v>1</v>
      </c>
      <c r="VGY378" t="s">
        <v>531</v>
      </c>
      <c r="VGZ378" t="str">
        <f>"628669010033"</f>
        <v>628669010033</v>
      </c>
      <c r="VHA378" t="str">
        <f>"0419671"</f>
        <v>0419671</v>
      </c>
      <c r="VHB378" t="s">
        <v>199</v>
      </c>
      <c r="VHC378" t="s">
        <v>25</v>
      </c>
      <c r="VHD378">
        <v>24</v>
      </c>
      <c r="VHE378">
        <v>0.05</v>
      </c>
      <c r="VHF378">
        <v>1</v>
      </c>
      <c r="VHG378" t="s">
        <v>531</v>
      </c>
      <c r="VHH378" t="str">
        <f>"628669010033"</f>
        <v>628669010033</v>
      </c>
      <c r="VHI378" t="str">
        <f>"0419671"</f>
        <v>0419671</v>
      </c>
      <c r="VHJ378" t="s">
        <v>199</v>
      </c>
      <c r="VHK378" t="s">
        <v>25</v>
      </c>
      <c r="VHL378">
        <v>24</v>
      </c>
      <c r="VHM378">
        <v>0.05</v>
      </c>
      <c r="VHN378">
        <v>1</v>
      </c>
      <c r="VHO378" t="s">
        <v>531</v>
      </c>
      <c r="VHP378" t="str">
        <f>"628669010033"</f>
        <v>628669010033</v>
      </c>
      <c r="VHQ378" t="str">
        <f>"0419671"</f>
        <v>0419671</v>
      </c>
      <c r="VHR378" t="s">
        <v>199</v>
      </c>
      <c r="VHS378" t="s">
        <v>25</v>
      </c>
      <c r="VHT378">
        <v>24</v>
      </c>
      <c r="VHU378">
        <v>0.05</v>
      </c>
      <c r="VHV378">
        <v>1</v>
      </c>
      <c r="VHW378" t="s">
        <v>531</v>
      </c>
      <c r="VHX378" t="str">
        <f>"628669010033"</f>
        <v>628669010033</v>
      </c>
      <c r="VHY378" t="str">
        <f>"0419671"</f>
        <v>0419671</v>
      </c>
      <c r="VHZ378" t="s">
        <v>199</v>
      </c>
      <c r="VIA378" t="s">
        <v>25</v>
      </c>
      <c r="VIB378">
        <v>24</v>
      </c>
      <c r="VIC378">
        <v>0.05</v>
      </c>
      <c r="VID378">
        <v>1</v>
      </c>
      <c r="VIE378" t="s">
        <v>531</v>
      </c>
      <c r="VIF378" t="str">
        <f>"628669010033"</f>
        <v>628669010033</v>
      </c>
      <c r="VIG378" t="str">
        <f>"0419671"</f>
        <v>0419671</v>
      </c>
      <c r="VIH378" t="s">
        <v>199</v>
      </c>
      <c r="VII378" t="s">
        <v>25</v>
      </c>
      <c r="VIJ378">
        <v>24</v>
      </c>
      <c r="VIK378">
        <v>0.05</v>
      </c>
      <c r="VIL378">
        <v>1</v>
      </c>
      <c r="VIM378" t="s">
        <v>531</v>
      </c>
      <c r="VIN378" t="str">
        <f>"628669010033"</f>
        <v>628669010033</v>
      </c>
      <c r="VIO378" t="str">
        <f>"0419671"</f>
        <v>0419671</v>
      </c>
      <c r="VIP378" t="s">
        <v>199</v>
      </c>
      <c r="VIQ378" t="s">
        <v>25</v>
      </c>
      <c r="VIR378">
        <v>24</v>
      </c>
      <c r="VIS378">
        <v>0.05</v>
      </c>
      <c r="VIT378">
        <v>1</v>
      </c>
      <c r="VIU378" t="s">
        <v>531</v>
      </c>
      <c r="VIV378" t="str">
        <f>"628669010033"</f>
        <v>628669010033</v>
      </c>
      <c r="VIW378" t="str">
        <f>"0419671"</f>
        <v>0419671</v>
      </c>
      <c r="VIX378" t="s">
        <v>199</v>
      </c>
      <c r="VIY378" t="s">
        <v>25</v>
      </c>
      <c r="VIZ378">
        <v>24</v>
      </c>
      <c r="VJA378">
        <v>0.05</v>
      </c>
      <c r="VJB378">
        <v>1</v>
      </c>
      <c r="VJC378" t="s">
        <v>531</v>
      </c>
      <c r="VJD378" t="str">
        <f>"628669010033"</f>
        <v>628669010033</v>
      </c>
      <c r="VJE378" t="str">
        <f>"0419671"</f>
        <v>0419671</v>
      </c>
      <c r="VJF378" t="s">
        <v>199</v>
      </c>
      <c r="VJG378" t="s">
        <v>25</v>
      </c>
      <c r="VJH378">
        <v>24</v>
      </c>
      <c r="VJI378">
        <v>0.05</v>
      </c>
      <c r="VJJ378">
        <v>1</v>
      </c>
      <c r="VJK378" t="s">
        <v>531</v>
      </c>
      <c r="VJL378" t="str">
        <f>"628669010033"</f>
        <v>628669010033</v>
      </c>
      <c r="VJM378" t="str">
        <f>"0419671"</f>
        <v>0419671</v>
      </c>
      <c r="VJN378" t="s">
        <v>199</v>
      </c>
      <c r="VJO378" t="s">
        <v>25</v>
      </c>
      <c r="VJP378">
        <v>24</v>
      </c>
      <c r="VJQ378">
        <v>0.05</v>
      </c>
      <c r="VJR378">
        <v>1</v>
      </c>
      <c r="VJS378" t="s">
        <v>531</v>
      </c>
      <c r="VJT378" t="str">
        <f>"628669010033"</f>
        <v>628669010033</v>
      </c>
      <c r="VJU378" t="str">
        <f>"0419671"</f>
        <v>0419671</v>
      </c>
      <c r="VJV378" t="s">
        <v>199</v>
      </c>
      <c r="VJW378" t="s">
        <v>25</v>
      </c>
      <c r="VJX378">
        <v>24</v>
      </c>
      <c r="VJY378">
        <v>0.05</v>
      </c>
      <c r="VJZ378">
        <v>1</v>
      </c>
      <c r="VKA378" t="s">
        <v>531</v>
      </c>
      <c r="VKB378" t="str">
        <f>"628669010033"</f>
        <v>628669010033</v>
      </c>
      <c r="VKC378" t="str">
        <f>"0419671"</f>
        <v>0419671</v>
      </c>
      <c r="VKD378" t="s">
        <v>199</v>
      </c>
      <c r="VKE378" t="s">
        <v>25</v>
      </c>
      <c r="VKF378">
        <v>24</v>
      </c>
      <c r="VKG378">
        <v>0.05</v>
      </c>
      <c r="VKH378">
        <v>1</v>
      </c>
      <c r="VKI378" t="s">
        <v>531</v>
      </c>
      <c r="VKJ378" t="str">
        <f>"628669010033"</f>
        <v>628669010033</v>
      </c>
      <c r="VKK378" t="str">
        <f>"0419671"</f>
        <v>0419671</v>
      </c>
      <c r="VKL378" t="s">
        <v>199</v>
      </c>
      <c r="VKM378" t="s">
        <v>25</v>
      </c>
      <c r="VKN378">
        <v>24</v>
      </c>
      <c r="VKO378">
        <v>0.05</v>
      </c>
      <c r="VKP378">
        <v>1</v>
      </c>
      <c r="VKQ378" t="s">
        <v>531</v>
      </c>
      <c r="VKR378" t="str">
        <f>"628669010033"</f>
        <v>628669010033</v>
      </c>
      <c r="VKS378" t="str">
        <f>"0419671"</f>
        <v>0419671</v>
      </c>
      <c r="VKT378" t="s">
        <v>199</v>
      </c>
      <c r="VKU378" t="s">
        <v>25</v>
      </c>
      <c r="VKV378">
        <v>24</v>
      </c>
      <c r="VKW378">
        <v>0.05</v>
      </c>
      <c r="VKX378">
        <v>1</v>
      </c>
      <c r="VKY378" t="s">
        <v>531</v>
      </c>
      <c r="VKZ378" t="str">
        <f>"628669010033"</f>
        <v>628669010033</v>
      </c>
      <c r="VLA378" t="str">
        <f>"0419671"</f>
        <v>0419671</v>
      </c>
      <c r="VLB378" t="s">
        <v>199</v>
      </c>
      <c r="VLC378" t="s">
        <v>25</v>
      </c>
      <c r="VLD378">
        <v>24</v>
      </c>
      <c r="VLE378">
        <v>0.05</v>
      </c>
      <c r="VLF378">
        <v>1</v>
      </c>
      <c r="VLG378" t="s">
        <v>531</v>
      </c>
      <c r="VLH378" t="str">
        <f>"628669010033"</f>
        <v>628669010033</v>
      </c>
      <c r="VLI378" t="str">
        <f>"0419671"</f>
        <v>0419671</v>
      </c>
      <c r="VLJ378" t="s">
        <v>199</v>
      </c>
      <c r="VLK378" t="s">
        <v>25</v>
      </c>
      <c r="VLL378">
        <v>24</v>
      </c>
      <c r="VLM378">
        <v>0.05</v>
      </c>
      <c r="VLN378">
        <v>1</v>
      </c>
      <c r="VLO378" t="s">
        <v>531</v>
      </c>
      <c r="VLP378" t="str">
        <f>"628669010033"</f>
        <v>628669010033</v>
      </c>
      <c r="VLQ378" t="str">
        <f>"0419671"</f>
        <v>0419671</v>
      </c>
      <c r="VLR378" t="s">
        <v>199</v>
      </c>
      <c r="VLS378" t="s">
        <v>25</v>
      </c>
      <c r="VLT378">
        <v>24</v>
      </c>
      <c r="VLU378">
        <v>0.05</v>
      </c>
      <c r="VLV378">
        <v>1</v>
      </c>
      <c r="VLW378" t="s">
        <v>531</v>
      </c>
      <c r="VLX378" t="str">
        <f>"628669010033"</f>
        <v>628669010033</v>
      </c>
      <c r="VLY378" t="str">
        <f>"0419671"</f>
        <v>0419671</v>
      </c>
      <c r="VLZ378" t="s">
        <v>199</v>
      </c>
      <c r="VMA378" t="s">
        <v>25</v>
      </c>
      <c r="VMB378">
        <v>24</v>
      </c>
      <c r="VMC378">
        <v>0.05</v>
      </c>
      <c r="VMD378">
        <v>1</v>
      </c>
      <c r="VME378" t="s">
        <v>531</v>
      </c>
      <c r="VMF378" t="str">
        <f>"628669010033"</f>
        <v>628669010033</v>
      </c>
      <c r="VMG378" t="str">
        <f>"0419671"</f>
        <v>0419671</v>
      </c>
      <c r="VMH378" t="s">
        <v>199</v>
      </c>
      <c r="VMI378" t="s">
        <v>25</v>
      </c>
      <c r="VMJ378">
        <v>24</v>
      </c>
      <c r="VMK378">
        <v>0.05</v>
      </c>
      <c r="VML378">
        <v>1</v>
      </c>
      <c r="VMM378" t="s">
        <v>531</v>
      </c>
      <c r="VMN378" t="str">
        <f>"628669010033"</f>
        <v>628669010033</v>
      </c>
      <c r="VMO378" t="str">
        <f>"0419671"</f>
        <v>0419671</v>
      </c>
      <c r="VMP378" t="s">
        <v>199</v>
      </c>
      <c r="VMQ378" t="s">
        <v>25</v>
      </c>
      <c r="VMR378">
        <v>24</v>
      </c>
      <c r="VMS378">
        <v>0.05</v>
      </c>
      <c r="VMT378">
        <v>1</v>
      </c>
      <c r="VMU378" t="s">
        <v>531</v>
      </c>
      <c r="VMV378" t="str">
        <f>"628669010033"</f>
        <v>628669010033</v>
      </c>
      <c r="VMW378" t="str">
        <f>"0419671"</f>
        <v>0419671</v>
      </c>
      <c r="VMX378" t="s">
        <v>199</v>
      </c>
      <c r="VMY378" t="s">
        <v>25</v>
      </c>
      <c r="VMZ378">
        <v>24</v>
      </c>
      <c r="VNA378">
        <v>0.05</v>
      </c>
      <c r="VNB378">
        <v>1</v>
      </c>
      <c r="VNC378" t="s">
        <v>531</v>
      </c>
      <c r="VND378" t="str">
        <f>"628669010033"</f>
        <v>628669010033</v>
      </c>
      <c r="VNE378" t="str">
        <f>"0419671"</f>
        <v>0419671</v>
      </c>
      <c r="VNF378" t="s">
        <v>199</v>
      </c>
      <c r="VNG378" t="s">
        <v>25</v>
      </c>
      <c r="VNH378">
        <v>24</v>
      </c>
      <c r="VNI378">
        <v>0.05</v>
      </c>
      <c r="VNJ378">
        <v>1</v>
      </c>
      <c r="VNK378" t="s">
        <v>531</v>
      </c>
      <c r="VNL378" t="str">
        <f>"628669010033"</f>
        <v>628669010033</v>
      </c>
      <c r="VNM378" t="str">
        <f>"0419671"</f>
        <v>0419671</v>
      </c>
      <c r="VNN378" t="s">
        <v>199</v>
      </c>
      <c r="VNO378" t="s">
        <v>25</v>
      </c>
      <c r="VNP378">
        <v>24</v>
      </c>
      <c r="VNQ378">
        <v>0.05</v>
      </c>
      <c r="VNR378">
        <v>1</v>
      </c>
      <c r="VNS378" t="s">
        <v>531</v>
      </c>
      <c r="VNT378" t="str">
        <f>"628669010033"</f>
        <v>628669010033</v>
      </c>
      <c r="VNU378" t="str">
        <f>"0419671"</f>
        <v>0419671</v>
      </c>
      <c r="VNV378" t="s">
        <v>199</v>
      </c>
      <c r="VNW378" t="s">
        <v>25</v>
      </c>
      <c r="VNX378">
        <v>24</v>
      </c>
      <c r="VNY378">
        <v>0.05</v>
      </c>
      <c r="VNZ378">
        <v>1</v>
      </c>
      <c r="VOA378" t="s">
        <v>531</v>
      </c>
      <c r="VOB378" t="str">
        <f>"628669010033"</f>
        <v>628669010033</v>
      </c>
      <c r="VOC378" t="str">
        <f>"0419671"</f>
        <v>0419671</v>
      </c>
      <c r="VOD378" t="s">
        <v>199</v>
      </c>
      <c r="VOE378" t="s">
        <v>25</v>
      </c>
      <c r="VOF378">
        <v>24</v>
      </c>
      <c r="VOG378">
        <v>0.05</v>
      </c>
      <c r="VOH378">
        <v>1</v>
      </c>
      <c r="VOI378" t="s">
        <v>531</v>
      </c>
      <c r="VOJ378" t="str">
        <f>"628669010033"</f>
        <v>628669010033</v>
      </c>
      <c r="VOK378" t="str">
        <f>"0419671"</f>
        <v>0419671</v>
      </c>
      <c r="VOL378" t="s">
        <v>199</v>
      </c>
      <c r="VOM378" t="s">
        <v>25</v>
      </c>
      <c r="VON378">
        <v>24</v>
      </c>
      <c r="VOO378">
        <v>0.05</v>
      </c>
      <c r="VOP378">
        <v>1</v>
      </c>
      <c r="VOQ378" t="s">
        <v>531</v>
      </c>
      <c r="VOR378" t="str">
        <f>"628669010033"</f>
        <v>628669010033</v>
      </c>
      <c r="VOS378" t="str">
        <f>"0419671"</f>
        <v>0419671</v>
      </c>
      <c r="VOT378" t="s">
        <v>199</v>
      </c>
      <c r="VOU378" t="s">
        <v>25</v>
      </c>
      <c r="VOV378">
        <v>24</v>
      </c>
      <c r="VOW378">
        <v>0.05</v>
      </c>
      <c r="VOX378">
        <v>1</v>
      </c>
      <c r="VOY378" t="s">
        <v>531</v>
      </c>
      <c r="VOZ378" t="str">
        <f>"628669010033"</f>
        <v>628669010033</v>
      </c>
      <c r="VPA378" t="str">
        <f>"0419671"</f>
        <v>0419671</v>
      </c>
      <c r="VPB378" t="s">
        <v>199</v>
      </c>
      <c r="VPC378" t="s">
        <v>25</v>
      </c>
      <c r="VPD378">
        <v>24</v>
      </c>
      <c r="VPE378">
        <v>0.05</v>
      </c>
      <c r="VPF378">
        <v>1</v>
      </c>
      <c r="VPG378" t="s">
        <v>531</v>
      </c>
      <c r="VPH378" t="str">
        <f>"628669010033"</f>
        <v>628669010033</v>
      </c>
      <c r="VPI378" t="str">
        <f>"0419671"</f>
        <v>0419671</v>
      </c>
      <c r="VPJ378" t="s">
        <v>199</v>
      </c>
      <c r="VPK378" t="s">
        <v>25</v>
      </c>
      <c r="VPL378">
        <v>24</v>
      </c>
      <c r="VPM378">
        <v>0.05</v>
      </c>
      <c r="VPN378">
        <v>1</v>
      </c>
      <c r="VPO378" t="s">
        <v>531</v>
      </c>
      <c r="VPP378" t="str">
        <f>"628669010033"</f>
        <v>628669010033</v>
      </c>
      <c r="VPQ378" t="str">
        <f>"0419671"</f>
        <v>0419671</v>
      </c>
      <c r="VPR378" t="s">
        <v>199</v>
      </c>
      <c r="VPS378" t="s">
        <v>25</v>
      </c>
      <c r="VPT378">
        <v>24</v>
      </c>
      <c r="VPU378">
        <v>0.05</v>
      </c>
      <c r="VPV378">
        <v>1</v>
      </c>
      <c r="VPW378" t="s">
        <v>531</v>
      </c>
      <c r="VPX378" t="str">
        <f>"628669010033"</f>
        <v>628669010033</v>
      </c>
      <c r="VPY378" t="str">
        <f>"0419671"</f>
        <v>0419671</v>
      </c>
      <c r="VPZ378" t="s">
        <v>199</v>
      </c>
      <c r="VQA378" t="s">
        <v>25</v>
      </c>
      <c r="VQB378">
        <v>24</v>
      </c>
      <c r="VQC378">
        <v>0.05</v>
      </c>
      <c r="VQD378">
        <v>1</v>
      </c>
      <c r="VQE378" t="s">
        <v>531</v>
      </c>
      <c r="VQF378" t="str">
        <f>"628669010033"</f>
        <v>628669010033</v>
      </c>
      <c r="VQG378" t="str">
        <f>"0419671"</f>
        <v>0419671</v>
      </c>
      <c r="VQH378" t="s">
        <v>199</v>
      </c>
      <c r="VQI378" t="s">
        <v>25</v>
      </c>
      <c r="VQJ378">
        <v>24</v>
      </c>
      <c r="VQK378">
        <v>0.05</v>
      </c>
      <c r="VQL378">
        <v>1</v>
      </c>
      <c r="VQM378" t="s">
        <v>531</v>
      </c>
      <c r="VQN378" t="str">
        <f>"628669010033"</f>
        <v>628669010033</v>
      </c>
      <c r="VQO378" t="str">
        <f>"0419671"</f>
        <v>0419671</v>
      </c>
      <c r="VQP378" t="s">
        <v>199</v>
      </c>
      <c r="VQQ378" t="s">
        <v>25</v>
      </c>
      <c r="VQR378">
        <v>24</v>
      </c>
      <c r="VQS378">
        <v>0.05</v>
      </c>
      <c r="VQT378">
        <v>1</v>
      </c>
      <c r="VQU378" t="s">
        <v>531</v>
      </c>
      <c r="VQV378" t="str">
        <f>"628669010033"</f>
        <v>628669010033</v>
      </c>
      <c r="VQW378" t="str">
        <f>"0419671"</f>
        <v>0419671</v>
      </c>
      <c r="VQX378" t="s">
        <v>199</v>
      </c>
      <c r="VQY378" t="s">
        <v>25</v>
      </c>
      <c r="VQZ378">
        <v>24</v>
      </c>
      <c r="VRA378">
        <v>0.05</v>
      </c>
      <c r="VRB378">
        <v>1</v>
      </c>
      <c r="VRC378" t="s">
        <v>531</v>
      </c>
      <c r="VRD378" t="str">
        <f>"628669010033"</f>
        <v>628669010033</v>
      </c>
      <c r="VRE378" t="str">
        <f>"0419671"</f>
        <v>0419671</v>
      </c>
      <c r="VRF378" t="s">
        <v>199</v>
      </c>
      <c r="VRG378" t="s">
        <v>25</v>
      </c>
      <c r="VRH378">
        <v>24</v>
      </c>
      <c r="VRI378">
        <v>0.05</v>
      </c>
      <c r="VRJ378">
        <v>1</v>
      </c>
      <c r="VRK378" t="s">
        <v>531</v>
      </c>
      <c r="VRL378" t="str">
        <f>"628669010033"</f>
        <v>628669010033</v>
      </c>
      <c r="VRM378" t="str">
        <f>"0419671"</f>
        <v>0419671</v>
      </c>
      <c r="VRN378" t="s">
        <v>199</v>
      </c>
      <c r="VRO378" t="s">
        <v>25</v>
      </c>
      <c r="VRP378">
        <v>24</v>
      </c>
      <c r="VRQ378">
        <v>0.05</v>
      </c>
      <c r="VRR378">
        <v>1</v>
      </c>
      <c r="VRS378" t="s">
        <v>531</v>
      </c>
      <c r="VRT378" t="str">
        <f>"628669010033"</f>
        <v>628669010033</v>
      </c>
      <c r="VRU378" t="str">
        <f>"0419671"</f>
        <v>0419671</v>
      </c>
      <c r="VRV378" t="s">
        <v>199</v>
      </c>
      <c r="VRW378" t="s">
        <v>25</v>
      </c>
      <c r="VRX378">
        <v>24</v>
      </c>
      <c r="VRY378">
        <v>0.05</v>
      </c>
      <c r="VRZ378">
        <v>1</v>
      </c>
      <c r="VSA378" t="s">
        <v>531</v>
      </c>
      <c r="VSB378" t="str">
        <f>"628669010033"</f>
        <v>628669010033</v>
      </c>
      <c r="VSC378" t="str">
        <f>"0419671"</f>
        <v>0419671</v>
      </c>
      <c r="VSD378" t="s">
        <v>199</v>
      </c>
      <c r="VSE378" t="s">
        <v>25</v>
      </c>
      <c r="VSF378">
        <v>24</v>
      </c>
      <c r="VSG378">
        <v>0.05</v>
      </c>
      <c r="VSH378">
        <v>1</v>
      </c>
      <c r="VSI378" t="s">
        <v>531</v>
      </c>
      <c r="VSJ378" t="str">
        <f>"628669010033"</f>
        <v>628669010033</v>
      </c>
      <c r="VSK378" t="str">
        <f>"0419671"</f>
        <v>0419671</v>
      </c>
      <c r="VSL378" t="s">
        <v>199</v>
      </c>
      <c r="VSM378" t="s">
        <v>25</v>
      </c>
      <c r="VSN378">
        <v>24</v>
      </c>
      <c r="VSO378">
        <v>0.05</v>
      </c>
      <c r="VSP378">
        <v>1</v>
      </c>
      <c r="VSQ378" t="s">
        <v>531</v>
      </c>
      <c r="VSR378" t="str">
        <f>"628669010033"</f>
        <v>628669010033</v>
      </c>
      <c r="VSS378" t="str">
        <f>"0419671"</f>
        <v>0419671</v>
      </c>
      <c r="VST378" t="s">
        <v>199</v>
      </c>
      <c r="VSU378" t="s">
        <v>25</v>
      </c>
      <c r="VSV378">
        <v>24</v>
      </c>
      <c r="VSW378">
        <v>0.05</v>
      </c>
      <c r="VSX378">
        <v>1</v>
      </c>
      <c r="VSY378" t="s">
        <v>531</v>
      </c>
      <c r="VSZ378" t="str">
        <f>"628669010033"</f>
        <v>628669010033</v>
      </c>
      <c r="VTA378" t="str">
        <f>"0419671"</f>
        <v>0419671</v>
      </c>
      <c r="VTB378" t="s">
        <v>199</v>
      </c>
      <c r="VTC378" t="s">
        <v>25</v>
      </c>
      <c r="VTD378">
        <v>24</v>
      </c>
      <c r="VTE378">
        <v>0.05</v>
      </c>
      <c r="VTF378">
        <v>1</v>
      </c>
      <c r="VTG378" t="s">
        <v>531</v>
      </c>
      <c r="VTH378" t="str">
        <f>"628669010033"</f>
        <v>628669010033</v>
      </c>
      <c r="VTI378" t="str">
        <f>"0419671"</f>
        <v>0419671</v>
      </c>
      <c r="VTJ378" t="s">
        <v>199</v>
      </c>
      <c r="VTK378" t="s">
        <v>25</v>
      </c>
      <c r="VTL378">
        <v>24</v>
      </c>
      <c r="VTM378">
        <v>0.05</v>
      </c>
      <c r="VTN378">
        <v>1</v>
      </c>
      <c r="VTO378" t="s">
        <v>531</v>
      </c>
      <c r="VTP378" t="str">
        <f>"628669010033"</f>
        <v>628669010033</v>
      </c>
      <c r="VTQ378" t="str">
        <f>"0419671"</f>
        <v>0419671</v>
      </c>
      <c r="VTR378" t="s">
        <v>199</v>
      </c>
      <c r="VTS378" t="s">
        <v>25</v>
      </c>
      <c r="VTT378">
        <v>24</v>
      </c>
      <c r="VTU378">
        <v>0.05</v>
      </c>
      <c r="VTV378">
        <v>1</v>
      </c>
      <c r="VTW378" t="s">
        <v>531</v>
      </c>
      <c r="VTX378" t="str">
        <f>"628669010033"</f>
        <v>628669010033</v>
      </c>
      <c r="VTY378" t="str">
        <f>"0419671"</f>
        <v>0419671</v>
      </c>
      <c r="VTZ378" t="s">
        <v>199</v>
      </c>
      <c r="VUA378" t="s">
        <v>25</v>
      </c>
      <c r="VUB378">
        <v>24</v>
      </c>
      <c r="VUC378">
        <v>0.05</v>
      </c>
      <c r="VUD378">
        <v>1</v>
      </c>
      <c r="VUE378" t="s">
        <v>531</v>
      </c>
      <c r="VUF378" t="str">
        <f>"628669010033"</f>
        <v>628669010033</v>
      </c>
      <c r="VUG378" t="str">
        <f>"0419671"</f>
        <v>0419671</v>
      </c>
      <c r="VUH378" t="s">
        <v>199</v>
      </c>
      <c r="VUI378" t="s">
        <v>25</v>
      </c>
      <c r="VUJ378">
        <v>24</v>
      </c>
      <c r="VUK378">
        <v>0.05</v>
      </c>
      <c r="VUL378">
        <v>1</v>
      </c>
      <c r="VUM378" t="s">
        <v>531</v>
      </c>
      <c r="VUN378" t="str">
        <f>"628669010033"</f>
        <v>628669010033</v>
      </c>
      <c r="VUO378" t="str">
        <f>"0419671"</f>
        <v>0419671</v>
      </c>
      <c r="VUP378" t="s">
        <v>199</v>
      </c>
      <c r="VUQ378" t="s">
        <v>25</v>
      </c>
      <c r="VUR378">
        <v>24</v>
      </c>
      <c r="VUS378">
        <v>0.05</v>
      </c>
      <c r="VUT378">
        <v>1</v>
      </c>
      <c r="VUU378" t="s">
        <v>531</v>
      </c>
      <c r="VUV378" t="str">
        <f>"628669010033"</f>
        <v>628669010033</v>
      </c>
      <c r="VUW378" t="str">
        <f>"0419671"</f>
        <v>0419671</v>
      </c>
      <c r="VUX378" t="s">
        <v>199</v>
      </c>
      <c r="VUY378" t="s">
        <v>25</v>
      </c>
      <c r="VUZ378">
        <v>24</v>
      </c>
      <c r="VVA378">
        <v>0.05</v>
      </c>
      <c r="VVB378">
        <v>1</v>
      </c>
      <c r="VVC378" t="s">
        <v>531</v>
      </c>
      <c r="VVD378" t="str">
        <f>"628669010033"</f>
        <v>628669010033</v>
      </c>
      <c r="VVE378" t="str">
        <f>"0419671"</f>
        <v>0419671</v>
      </c>
      <c r="VVF378" t="s">
        <v>199</v>
      </c>
      <c r="VVG378" t="s">
        <v>25</v>
      </c>
      <c r="VVH378">
        <v>24</v>
      </c>
      <c r="VVI378">
        <v>0.05</v>
      </c>
      <c r="VVJ378">
        <v>1</v>
      </c>
      <c r="VVK378" t="s">
        <v>531</v>
      </c>
      <c r="VVL378" t="str">
        <f>"628669010033"</f>
        <v>628669010033</v>
      </c>
      <c r="VVM378" t="str">
        <f>"0419671"</f>
        <v>0419671</v>
      </c>
      <c r="VVN378" t="s">
        <v>199</v>
      </c>
      <c r="VVO378" t="s">
        <v>25</v>
      </c>
      <c r="VVP378">
        <v>24</v>
      </c>
      <c r="VVQ378">
        <v>0.05</v>
      </c>
      <c r="VVR378">
        <v>1</v>
      </c>
      <c r="VVS378" t="s">
        <v>531</v>
      </c>
      <c r="VVT378" t="str">
        <f>"628669010033"</f>
        <v>628669010033</v>
      </c>
      <c r="VVU378" t="str">
        <f>"0419671"</f>
        <v>0419671</v>
      </c>
      <c r="VVV378" t="s">
        <v>199</v>
      </c>
      <c r="VVW378" t="s">
        <v>25</v>
      </c>
      <c r="VVX378">
        <v>24</v>
      </c>
      <c r="VVY378">
        <v>0.05</v>
      </c>
      <c r="VVZ378">
        <v>1</v>
      </c>
      <c r="VWA378" t="s">
        <v>531</v>
      </c>
      <c r="VWB378" t="str">
        <f>"628669010033"</f>
        <v>628669010033</v>
      </c>
      <c r="VWC378" t="str">
        <f>"0419671"</f>
        <v>0419671</v>
      </c>
      <c r="VWD378" t="s">
        <v>199</v>
      </c>
      <c r="VWE378" t="s">
        <v>25</v>
      </c>
      <c r="VWF378">
        <v>24</v>
      </c>
      <c r="VWG378">
        <v>0.05</v>
      </c>
      <c r="VWH378">
        <v>1</v>
      </c>
      <c r="VWI378" t="s">
        <v>531</v>
      </c>
      <c r="VWJ378" t="str">
        <f>"628669010033"</f>
        <v>628669010033</v>
      </c>
      <c r="VWK378" t="str">
        <f>"0419671"</f>
        <v>0419671</v>
      </c>
      <c r="VWL378" t="s">
        <v>199</v>
      </c>
      <c r="VWM378" t="s">
        <v>25</v>
      </c>
      <c r="VWN378">
        <v>24</v>
      </c>
      <c r="VWO378">
        <v>0.05</v>
      </c>
      <c r="VWP378">
        <v>1</v>
      </c>
      <c r="VWQ378" t="s">
        <v>531</v>
      </c>
      <c r="VWR378" t="str">
        <f>"628669010033"</f>
        <v>628669010033</v>
      </c>
      <c r="VWS378" t="str">
        <f>"0419671"</f>
        <v>0419671</v>
      </c>
      <c r="VWT378" t="s">
        <v>199</v>
      </c>
      <c r="VWU378" t="s">
        <v>25</v>
      </c>
      <c r="VWV378">
        <v>24</v>
      </c>
      <c r="VWW378">
        <v>0.05</v>
      </c>
      <c r="VWX378">
        <v>1</v>
      </c>
      <c r="VWY378" t="s">
        <v>531</v>
      </c>
      <c r="VWZ378" t="str">
        <f>"628669010033"</f>
        <v>628669010033</v>
      </c>
      <c r="VXA378" t="str">
        <f>"0419671"</f>
        <v>0419671</v>
      </c>
      <c r="VXB378" t="s">
        <v>199</v>
      </c>
      <c r="VXC378" t="s">
        <v>25</v>
      </c>
      <c r="VXD378">
        <v>24</v>
      </c>
      <c r="VXE378">
        <v>0.05</v>
      </c>
      <c r="VXF378">
        <v>1</v>
      </c>
      <c r="VXG378" t="s">
        <v>531</v>
      </c>
      <c r="VXH378" t="str">
        <f>"628669010033"</f>
        <v>628669010033</v>
      </c>
      <c r="VXI378" t="str">
        <f>"0419671"</f>
        <v>0419671</v>
      </c>
      <c r="VXJ378" t="s">
        <v>199</v>
      </c>
      <c r="VXK378" t="s">
        <v>25</v>
      </c>
      <c r="VXL378">
        <v>24</v>
      </c>
      <c r="VXM378">
        <v>0.05</v>
      </c>
      <c r="VXN378">
        <v>1</v>
      </c>
      <c r="VXO378" t="s">
        <v>531</v>
      </c>
      <c r="VXP378" t="str">
        <f>"628669010033"</f>
        <v>628669010033</v>
      </c>
      <c r="VXQ378" t="str">
        <f>"0419671"</f>
        <v>0419671</v>
      </c>
      <c r="VXR378" t="s">
        <v>199</v>
      </c>
      <c r="VXS378" t="s">
        <v>25</v>
      </c>
      <c r="VXT378">
        <v>24</v>
      </c>
      <c r="VXU378">
        <v>0.05</v>
      </c>
      <c r="VXV378">
        <v>1</v>
      </c>
      <c r="VXW378" t="s">
        <v>531</v>
      </c>
      <c r="VXX378" t="str">
        <f>"628669010033"</f>
        <v>628669010033</v>
      </c>
      <c r="VXY378" t="str">
        <f>"0419671"</f>
        <v>0419671</v>
      </c>
      <c r="VXZ378" t="s">
        <v>199</v>
      </c>
      <c r="VYA378" t="s">
        <v>25</v>
      </c>
      <c r="VYB378">
        <v>24</v>
      </c>
      <c r="VYC378">
        <v>0.05</v>
      </c>
      <c r="VYD378">
        <v>1</v>
      </c>
      <c r="VYE378" t="s">
        <v>531</v>
      </c>
      <c r="VYF378" t="str">
        <f>"628669010033"</f>
        <v>628669010033</v>
      </c>
      <c r="VYG378" t="str">
        <f>"0419671"</f>
        <v>0419671</v>
      </c>
      <c r="VYH378" t="s">
        <v>199</v>
      </c>
      <c r="VYI378" t="s">
        <v>25</v>
      </c>
      <c r="VYJ378">
        <v>24</v>
      </c>
      <c r="VYK378">
        <v>0.05</v>
      </c>
      <c r="VYL378">
        <v>1</v>
      </c>
      <c r="VYM378" t="s">
        <v>531</v>
      </c>
      <c r="VYN378" t="str">
        <f>"628669010033"</f>
        <v>628669010033</v>
      </c>
      <c r="VYO378" t="str">
        <f>"0419671"</f>
        <v>0419671</v>
      </c>
      <c r="VYP378" t="s">
        <v>199</v>
      </c>
      <c r="VYQ378" t="s">
        <v>25</v>
      </c>
      <c r="VYR378">
        <v>24</v>
      </c>
      <c r="VYS378">
        <v>0.05</v>
      </c>
      <c r="VYT378">
        <v>1</v>
      </c>
      <c r="VYU378" t="s">
        <v>531</v>
      </c>
      <c r="VYV378" t="str">
        <f>"628669010033"</f>
        <v>628669010033</v>
      </c>
      <c r="VYW378" t="str">
        <f>"0419671"</f>
        <v>0419671</v>
      </c>
      <c r="VYX378" t="s">
        <v>199</v>
      </c>
      <c r="VYY378" t="s">
        <v>25</v>
      </c>
      <c r="VYZ378">
        <v>24</v>
      </c>
      <c r="VZA378">
        <v>0.05</v>
      </c>
      <c r="VZB378">
        <v>1</v>
      </c>
      <c r="VZC378" t="s">
        <v>531</v>
      </c>
      <c r="VZD378" t="str">
        <f>"628669010033"</f>
        <v>628669010033</v>
      </c>
      <c r="VZE378" t="str">
        <f>"0419671"</f>
        <v>0419671</v>
      </c>
      <c r="VZF378" t="s">
        <v>199</v>
      </c>
      <c r="VZG378" t="s">
        <v>25</v>
      </c>
      <c r="VZH378">
        <v>24</v>
      </c>
      <c r="VZI378">
        <v>0.05</v>
      </c>
      <c r="VZJ378">
        <v>1</v>
      </c>
      <c r="VZK378" t="s">
        <v>531</v>
      </c>
      <c r="VZL378" t="str">
        <f>"628669010033"</f>
        <v>628669010033</v>
      </c>
      <c r="VZM378" t="str">
        <f>"0419671"</f>
        <v>0419671</v>
      </c>
      <c r="VZN378" t="s">
        <v>199</v>
      </c>
      <c r="VZO378" t="s">
        <v>25</v>
      </c>
      <c r="VZP378">
        <v>24</v>
      </c>
      <c r="VZQ378">
        <v>0.05</v>
      </c>
      <c r="VZR378">
        <v>1</v>
      </c>
      <c r="VZS378" t="s">
        <v>531</v>
      </c>
      <c r="VZT378" t="str">
        <f>"628669010033"</f>
        <v>628669010033</v>
      </c>
      <c r="VZU378" t="str">
        <f>"0419671"</f>
        <v>0419671</v>
      </c>
      <c r="VZV378" t="s">
        <v>199</v>
      </c>
      <c r="VZW378" t="s">
        <v>25</v>
      </c>
      <c r="VZX378">
        <v>24</v>
      </c>
      <c r="VZY378">
        <v>0.05</v>
      </c>
      <c r="VZZ378">
        <v>1</v>
      </c>
      <c r="WAA378" t="s">
        <v>531</v>
      </c>
      <c r="WAB378" t="str">
        <f>"628669010033"</f>
        <v>628669010033</v>
      </c>
      <c r="WAC378" t="str">
        <f>"0419671"</f>
        <v>0419671</v>
      </c>
      <c r="WAD378" t="s">
        <v>199</v>
      </c>
      <c r="WAE378" t="s">
        <v>25</v>
      </c>
      <c r="WAF378">
        <v>24</v>
      </c>
      <c r="WAG378">
        <v>0.05</v>
      </c>
      <c r="WAH378">
        <v>1</v>
      </c>
      <c r="WAI378" t="s">
        <v>531</v>
      </c>
      <c r="WAJ378" t="str">
        <f>"628669010033"</f>
        <v>628669010033</v>
      </c>
      <c r="WAK378" t="str">
        <f>"0419671"</f>
        <v>0419671</v>
      </c>
      <c r="WAL378" t="s">
        <v>199</v>
      </c>
      <c r="WAM378" t="s">
        <v>25</v>
      </c>
      <c r="WAN378">
        <v>24</v>
      </c>
      <c r="WAO378">
        <v>0.05</v>
      </c>
      <c r="WAP378">
        <v>1</v>
      </c>
      <c r="WAQ378" t="s">
        <v>531</v>
      </c>
      <c r="WAR378" t="str">
        <f>"628669010033"</f>
        <v>628669010033</v>
      </c>
      <c r="WAS378" t="str">
        <f>"0419671"</f>
        <v>0419671</v>
      </c>
      <c r="WAT378" t="s">
        <v>199</v>
      </c>
      <c r="WAU378" t="s">
        <v>25</v>
      </c>
      <c r="WAV378">
        <v>24</v>
      </c>
      <c r="WAW378">
        <v>0.05</v>
      </c>
      <c r="WAX378">
        <v>1</v>
      </c>
      <c r="WAY378" t="s">
        <v>531</v>
      </c>
      <c r="WAZ378" t="str">
        <f>"628669010033"</f>
        <v>628669010033</v>
      </c>
      <c r="WBA378" t="str">
        <f>"0419671"</f>
        <v>0419671</v>
      </c>
      <c r="WBB378" t="s">
        <v>199</v>
      </c>
      <c r="WBC378" t="s">
        <v>25</v>
      </c>
      <c r="WBD378">
        <v>24</v>
      </c>
      <c r="WBE378">
        <v>0.05</v>
      </c>
      <c r="WBF378">
        <v>1</v>
      </c>
      <c r="WBG378" t="s">
        <v>531</v>
      </c>
      <c r="WBH378" t="str">
        <f>"628669010033"</f>
        <v>628669010033</v>
      </c>
      <c r="WBI378" t="str">
        <f>"0419671"</f>
        <v>0419671</v>
      </c>
      <c r="WBJ378" t="s">
        <v>199</v>
      </c>
      <c r="WBK378" t="s">
        <v>25</v>
      </c>
      <c r="WBL378">
        <v>24</v>
      </c>
      <c r="WBM378">
        <v>0.05</v>
      </c>
      <c r="WBN378">
        <v>1</v>
      </c>
      <c r="WBO378" t="s">
        <v>531</v>
      </c>
      <c r="WBP378" t="str">
        <f>"628669010033"</f>
        <v>628669010033</v>
      </c>
      <c r="WBQ378" t="str">
        <f>"0419671"</f>
        <v>0419671</v>
      </c>
      <c r="WBR378" t="s">
        <v>199</v>
      </c>
      <c r="WBS378" t="s">
        <v>25</v>
      </c>
      <c r="WBT378">
        <v>24</v>
      </c>
      <c r="WBU378">
        <v>0.05</v>
      </c>
      <c r="WBV378">
        <v>1</v>
      </c>
      <c r="WBW378" t="s">
        <v>531</v>
      </c>
      <c r="WBX378" t="str">
        <f>"628669010033"</f>
        <v>628669010033</v>
      </c>
      <c r="WBY378" t="str">
        <f>"0419671"</f>
        <v>0419671</v>
      </c>
      <c r="WBZ378" t="s">
        <v>199</v>
      </c>
      <c r="WCA378" t="s">
        <v>25</v>
      </c>
      <c r="WCB378">
        <v>24</v>
      </c>
      <c r="WCC378">
        <v>0.05</v>
      </c>
      <c r="WCD378">
        <v>1</v>
      </c>
      <c r="WCE378" t="s">
        <v>531</v>
      </c>
      <c r="WCF378" t="str">
        <f>"628669010033"</f>
        <v>628669010033</v>
      </c>
      <c r="WCG378" t="str">
        <f>"0419671"</f>
        <v>0419671</v>
      </c>
      <c r="WCH378" t="s">
        <v>199</v>
      </c>
      <c r="WCI378" t="s">
        <v>25</v>
      </c>
      <c r="WCJ378">
        <v>24</v>
      </c>
      <c r="WCK378">
        <v>0.05</v>
      </c>
      <c r="WCL378">
        <v>1</v>
      </c>
      <c r="WCM378" t="s">
        <v>531</v>
      </c>
      <c r="WCN378" t="str">
        <f>"628669010033"</f>
        <v>628669010033</v>
      </c>
      <c r="WCO378" t="str">
        <f>"0419671"</f>
        <v>0419671</v>
      </c>
      <c r="WCP378" t="s">
        <v>199</v>
      </c>
      <c r="WCQ378" t="s">
        <v>25</v>
      </c>
      <c r="WCR378">
        <v>24</v>
      </c>
      <c r="WCS378">
        <v>0.05</v>
      </c>
      <c r="WCT378">
        <v>1</v>
      </c>
      <c r="WCU378" t="s">
        <v>531</v>
      </c>
      <c r="WCV378" t="str">
        <f>"628669010033"</f>
        <v>628669010033</v>
      </c>
      <c r="WCW378" t="str">
        <f>"0419671"</f>
        <v>0419671</v>
      </c>
      <c r="WCX378" t="s">
        <v>199</v>
      </c>
      <c r="WCY378" t="s">
        <v>25</v>
      </c>
      <c r="WCZ378">
        <v>24</v>
      </c>
      <c r="WDA378">
        <v>0.05</v>
      </c>
      <c r="WDB378">
        <v>1</v>
      </c>
      <c r="WDC378" t="s">
        <v>531</v>
      </c>
      <c r="WDD378" t="str">
        <f>"628669010033"</f>
        <v>628669010033</v>
      </c>
      <c r="WDE378" t="str">
        <f>"0419671"</f>
        <v>0419671</v>
      </c>
      <c r="WDF378" t="s">
        <v>199</v>
      </c>
      <c r="WDG378" t="s">
        <v>25</v>
      </c>
      <c r="WDH378">
        <v>24</v>
      </c>
      <c r="WDI378">
        <v>0.05</v>
      </c>
      <c r="WDJ378">
        <v>1</v>
      </c>
      <c r="WDK378" t="s">
        <v>531</v>
      </c>
      <c r="WDL378" t="str">
        <f>"628669010033"</f>
        <v>628669010033</v>
      </c>
      <c r="WDM378" t="str">
        <f>"0419671"</f>
        <v>0419671</v>
      </c>
      <c r="WDN378" t="s">
        <v>199</v>
      </c>
      <c r="WDO378" t="s">
        <v>25</v>
      </c>
      <c r="WDP378">
        <v>24</v>
      </c>
      <c r="WDQ378">
        <v>0.05</v>
      </c>
      <c r="WDR378">
        <v>1</v>
      </c>
      <c r="WDS378" t="s">
        <v>531</v>
      </c>
      <c r="WDT378" t="str">
        <f>"628669010033"</f>
        <v>628669010033</v>
      </c>
      <c r="WDU378" t="str">
        <f>"0419671"</f>
        <v>0419671</v>
      </c>
      <c r="WDV378" t="s">
        <v>199</v>
      </c>
      <c r="WDW378" t="s">
        <v>25</v>
      </c>
      <c r="WDX378">
        <v>24</v>
      </c>
      <c r="WDY378">
        <v>0.05</v>
      </c>
      <c r="WDZ378">
        <v>1</v>
      </c>
      <c r="WEA378" t="s">
        <v>531</v>
      </c>
      <c r="WEB378" t="str">
        <f>"628669010033"</f>
        <v>628669010033</v>
      </c>
      <c r="WEC378" t="str">
        <f>"0419671"</f>
        <v>0419671</v>
      </c>
      <c r="WED378" t="s">
        <v>199</v>
      </c>
      <c r="WEE378" t="s">
        <v>25</v>
      </c>
      <c r="WEF378">
        <v>24</v>
      </c>
      <c r="WEG378">
        <v>0.05</v>
      </c>
      <c r="WEH378">
        <v>1</v>
      </c>
      <c r="WEI378" t="s">
        <v>531</v>
      </c>
      <c r="WEJ378" t="str">
        <f>"628669010033"</f>
        <v>628669010033</v>
      </c>
      <c r="WEK378" t="str">
        <f>"0419671"</f>
        <v>0419671</v>
      </c>
      <c r="WEL378" t="s">
        <v>199</v>
      </c>
      <c r="WEM378" t="s">
        <v>25</v>
      </c>
      <c r="WEN378">
        <v>24</v>
      </c>
      <c r="WEO378">
        <v>0.05</v>
      </c>
      <c r="WEP378">
        <v>1</v>
      </c>
      <c r="WEQ378" t="s">
        <v>531</v>
      </c>
      <c r="WER378" t="str">
        <f>"628669010033"</f>
        <v>628669010033</v>
      </c>
      <c r="WES378" t="str">
        <f>"0419671"</f>
        <v>0419671</v>
      </c>
      <c r="WET378" t="s">
        <v>199</v>
      </c>
      <c r="WEU378" t="s">
        <v>25</v>
      </c>
      <c r="WEV378">
        <v>24</v>
      </c>
      <c r="WEW378">
        <v>0.05</v>
      </c>
      <c r="WEX378">
        <v>1</v>
      </c>
      <c r="WEY378" t="s">
        <v>531</v>
      </c>
      <c r="WEZ378" t="str">
        <f>"628669010033"</f>
        <v>628669010033</v>
      </c>
      <c r="WFA378" t="str">
        <f>"0419671"</f>
        <v>0419671</v>
      </c>
      <c r="WFB378" t="s">
        <v>199</v>
      </c>
      <c r="WFC378" t="s">
        <v>25</v>
      </c>
      <c r="WFD378">
        <v>24</v>
      </c>
      <c r="WFE378">
        <v>0.05</v>
      </c>
      <c r="WFF378">
        <v>1</v>
      </c>
      <c r="WFG378" t="s">
        <v>531</v>
      </c>
      <c r="WFH378" t="str">
        <f>"628669010033"</f>
        <v>628669010033</v>
      </c>
      <c r="WFI378" t="str">
        <f>"0419671"</f>
        <v>0419671</v>
      </c>
      <c r="WFJ378" t="s">
        <v>199</v>
      </c>
      <c r="WFK378" t="s">
        <v>25</v>
      </c>
      <c r="WFL378">
        <v>24</v>
      </c>
      <c r="WFM378">
        <v>0.05</v>
      </c>
      <c r="WFN378">
        <v>1</v>
      </c>
      <c r="WFO378" t="s">
        <v>531</v>
      </c>
      <c r="WFP378" t="str">
        <f>"628669010033"</f>
        <v>628669010033</v>
      </c>
      <c r="WFQ378" t="str">
        <f>"0419671"</f>
        <v>0419671</v>
      </c>
      <c r="WFR378" t="s">
        <v>199</v>
      </c>
      <c r="WFS378" t="s">
        <v>25</v>
      </c>
      <c r="WFT378">
        <v>24</v>
      </c>
      <c r="WFU378">
        <v>0.05</v>
      </c>
      <c r="WFV378">
        <v>1</v>
      </c>
      <c r="WFW378" t="s">
        <v>531</v>
      </c>
      <c r="WFX378" t="str">
        <f>"628669010033"</f>
        <v>628669010033</v>
      </c>
      <c r="WFY378" t="str">
        <f>"0419671"</f>
        <v>0419671</v>
      </c>
      <c r="WFZ378" t="s">
        <v>199</v>
      </c>
      <c r="WGA378" t="s">
        <v>25</v>
      </c>
      <c r="WGB378">
        <v>24</v>
      </c>
      <c r="WGC378">
        <v>0.05</v>
      </c>
      <c r="WGD378">
        <v>1</v>
      </c>
      <c r="WGE378" t="s">
        <v>531</v>
      </c>
      <c r="WGF378" t="str">
        <f>"628669010033"</f>
        <v>628669010033</v>
      </c>
      <c r="WGG378" t="str">
        <f>"0419671"</f>
        <v>0419671</v>
      </c>
      <c r="WGH378" t="s">
        <v>199</v>
      </c>
      <c r="WGI378" t="s">
        <v>25</v>
      </c>
      <c r="WGJ378">
        <v>24</v>
      </c>
      <c r="WGK378">
        <v>0.05</v>
      </c>
      <c r="WGL378">
        <v>1</v>
      </c>
      <c r="WGM378" t="s">
        <v>531</v>
      </c>
      <c r="WGN378" t="str">
        <f>"628669010033"</f>
        <v>628669010033</v>
      </c>
      <c r="WGO378" t="str">
        <f>"0419671"</f>
        <v>0419671</v>
      </c>
      <c r="WGP378" t="s">
        <v>199</v>
      </c>
      <c r="WGQ378" t="s">
        <v>25</v>
      </c>
      <c r="WGR378">
        <v>24</v>
      </c>
      <c r="WGS378">
        <v>0.05</v>
      </c>
      <c r="WGT378">
        <v>1</v>
      </c>
      <c r="WGU378" t="s">
        <v>531</v>
      </c>
      <c r="WGV378" t="str">
        <f>"628669010033"</f>
        <v>628669010033</v>
      </c>
      <c r="WGW378" t="str">
        <f>"0419671"</f>
        <v>0419671</v>
      </c>
      <c r="WGX378" t="s">
        <v>199</v>
      </c>
      <c r="WGY378" t="s">
        <v>25</v>
      </c>
      <c r="WGZ378">
        <v>24</v>
      </c>
      <c r="WHA378">
        <v>0.05</v>
      </c>
      <c r="WHB378">
        <v>1</v>
      </c>
      <c r="WHC378" t="s">
        <v>531</v>
      </c>
      <c r="WHD378" t="str">
        <f>"628669010033"</f>
        <v>628669010033</v>
      </c>
      <c r="WHE378" t="str">
        <f>"0419671"</f>
        <v>0419671</v>
      </c>
      <c r="WHF378" t="s">
        <v>199</v>
      </c>
      <c r="WHG378" t="s">
        <v>25</v>
      </c>
      <c r="WHH378">
        <v>24</v>
      </c>
      <c r="WHI378">
        <v>0.05</v>
      </c>
      <c r="WHJ378">
        <v>1</v>
      </c>
      <c r="WHK378" t="s">
        <v>531</v>
      </c>
      <c r="WHL378" t="str">
        <f>"628669010033"</f>
        <v>628669010033</v>
      </c>
      <c r="WHM378" t="str">
        <f>"0419671"</f>
        <v>0419671</v>
      </c>
      <c r="WHN378" t="s">
        <v>199</v>
      </c>
      <c r="WHO378" t="s">
        <v>25</v>
      </c>
      <c r="WHP378">
        <v>24</v>
      </c>
      <c r="WHQ378">
        <v>0.05</v>
      </c>
      <c r="WHR378">
        <v>1</v>
      </c>
      <c r="WHS378" t="s">
        <v>531</v>
      </c>
      <c r="WHT378" t="str">
        <f>"628669010033"</f>
        <v>628669010033</v>
      </c>
      <c r="WHU378" t="str">
        <f>"0419671"</f>
        <v>0419671</v>
      </c>
      <c r="WHV378" t="s">
        <v>199</v>
      </c>
      <c r="WHW378" t="s">
        <v>25</v>
      </c>
      <c r="WHX378">
        <v>24</v>
      </c>
      <c r="WHY378">
        <v>0.05</v>
      </c>
      <c r="WHZ378">
        <v>1</v>
      </c>
      <c r="WIA378" t="s">
        <v>531</v>
      </c>
      <c r="WIB378" t="str">
        <f>"628669010033"</f>
        <v>628669010033</v>
      </c>
      <c r="WIC378" t="str">
        <f>"0419671"</f>
        <v>0419671</v>
      </c>
      <c r="WID378" t="s">
        <v>199</v>
      </c>
      <c r="WIE378" t="s">
        <v>25</v>
      </c>
      <c r="WIF378">
        <v>24</v>
      </c>
      <c r="WIG378">
        <v>0.05</v>
      </c>
      <c r="WIH378">
        <v>1</v>
      </c>
      <c r="WII378" t="s">
        <v>531</v>
      </c>
      <c r="WIJ378" t="str">
        <f>"628669010033"</f>
        <v>628669010033</v>
      </c>
      <c r="WIK378" t="str">
        <f>"0419671"</f>
        <v>0419671</v>
      </c>
      <c r="WIL378" t="s">
        <v>199</v>
      </c>
      <c r="WIM378" t="s">
        <v>25</v>
      </c>
      <c r="WIN378">
        <v>24</v>
      </c>
      <c r="WIO378">
        <v>0.05</v>
      </c>
      <c r="WIP378">
        <v>1</v>
      </c>
      <c r="WIQ378" t="s">
        <v>531</v>
      </c>
      <c r="WIR378" t="str">
        <f>"628669010033"</f>
        <v>628669010033</v>
      </c>
      <c r="WIS378" t="str">
        <f>"0419671"</f>
        <v>0419671</v>
      </c>
      <c r="WIT378" t="s">
        <v>199</v>
      </c>
      <c r="WIU378" t="s">
        <v>25</v>
      </c>
      <c r="WIV378">
        <v>24</v>
      </c>
      <c r="WIW378">
        <v>0.05</v>
      </c>
      <c r="WIX378">
        <v>1</v>
      </c>
      <c r="WIY378" t="s">
        <v>531</v>
      </c>
      <c r="WIZ378" t="str">
        <f>"628669010033"</f>
        <v>628669010033</v>
      </c>
      <c r="WJA378" t="str">
        <f>"0419671"</f>
        <v>0419671</v>
      </c>
      <c r="WJB378" t="s">
        <v>199</v>
      </c>
      <c r="WJC378" t="s">
        <v>25</v>
      </c>
      <c r="WJD378">
        <v>24</v>
      </c>
      <c r="WJE378">
        <v>0.05</v>
      </c>
      <c r="WJF378">
        <v>1</v>
      </c>
      <c r="WJG378" t="s">
        <v>531</v>
      </c>
      <c r="WJH378" t="str">
        <f>"628669010033"</f>
        <v>628669010033</v>
      </c>
      <c r="WJI378" t="str">
        <f>"0419671"</f>
        <v>0419671</v>
      </c>
      <c r="WJJ378" t="s">
        <v>199</v>
      </c>
      <c r="WJK378" t="s">
        <v>25</v>
      </c>
      <c r="WJL378">
        <v>24</v>
      </c>
      <c r="WJM378">
        <v>0.05</v>
      </c>
      <c r="WJN378">
        <v>1</v>
      </c>
      <c r="WJO378" t="s">
        <v>531</v>
      </c>
      <c r="WJP378" t="str">
        <f>"628669010033"</f>
        <v>628669010033</v>
      </c>
      <c r="WJQ378" t="str">
        <f>"0419671"</f>
        <v>0419671</v>
      </c>
      <c r="WJR378" t="s">
        <v>199</v>
      </c>
      <c r="WJS378" t="s">
        <v>25</v>
      </c>
      <c r="WJT378">
        <v>24</v>
      </c>
      <c r="WJU378">
        <v>0.05</v>
      </c>
      <c r="WJV378">
        <v>1</v>
      </c>
      <c r="WJW378" t="s">
        <v>531</v>
      </c>
      <c r="WJX378" t="str">
        <f>"628669010033"</f>
        <v>628669010033</v>
      </c>
      <c r="WJY378" t="str">
        <f>"0419671"</f>
        <v>0419671</v>
      </c>
      <c r="WJZ378" t="s">
        <v>199</v>
      </c>
      <c r="WKA378" t="s">
        <v>25</v>
      </c>
      <c r="WKB378">
        <v>24</v>
      </c>
      <c r="WKC378">
        <v>0.05</v>
      </c>
      <c r="WKD378">
        <v>1</v>
      </c>
      <c r="WKE378" t="s">
        <v>531</v>
      </c>
      <c r="WKF378" t="str">
        <f>"628669010033"</f>
        <v>628669010033</v>
      </c>
      <c r="WKG378" t="str">
        <f>"0419671"</f>
        <v>0419671</v>
      </c>
      <c r="WKH378" t="s">
        <v>199</v>
      </c>
      <c r="WKI378" t="s">
        <v>25</v>
      </c>
      <c r="WKJ378">
        <v>24</v>
      </c>
      <c r="WKK378">
        <v>0.05</v>
      </c>
      <c r="WKL378">
        <v>1</v>
      </c>
      <c r="WKM378" t="s">
        <v>531</v>
      </c>
      <c r="WKN378" t="str">
        <f>"628669010033"</f>
        <v>628669010033</v>
      </c>
      <c r="WKO378" t="str">
        <f>"0419671"</f>
        <v>0419671</v>
      </c>
      <c r="WKP378" t="s">
        <v>199</v>
      </c>
      <c r="WKQ378" t="s">
        <v>25</v>
      </c>
      <c r="WKR378">
        <v>24</v>
      </c>
      <c r="WKS378">
        <v>0.05</v>
      </c>
      <c r="WKT378">
        <v>1</v>
      </c>
      <c r="WKU378" t="s">
        <v>531</v>
      </c>
      <c r="WKV378" t="str">
        <f>"628669010033"</f>
        <v>628669010033</v>
      </c>
      <c r="WKW378" t="str">
        <f>"0419671"</f>
        <v>0419671</v>
      </c>
      <c r="WKX378" t="s">
        <v>199</v>
      </c>
      <c r="WKY378" t="s">
        <v>25</v>
      </c>
      <c r="WKZ378">
        <v>24</v>
      </c>
      <c r="WLA378">
        <v>0.05</v>
      </c>
      <c r="WLB378">
        <v>1</v>
      </c>
      <c r="WLC378" t="s">
        <v>531</v>
      </c>
      <c r="WLD378" t="str">
        <f>"628669010033"</f>
        <v>628669010033</v>
      </c>
      <c r="WLE378" t="str">
        <f>"0419671"</f>
        <v>0419671</v>
      </c>
      <c r="WLF378" t="s">
        <v>199</v>
      </c>
      <c r="WLG378" t="s">
        <v>25</v>
      </c>
      <c r="WLH378">
        <v>24</v>
      </c>
      <c r="WLI378">
        <v>0.05</v>
      </c>
      <c r="WLJ378">
        <v>1</v>
      </c>
      <c r="WLK378" t="s">
        <v>531</v>
      </c>
      <c r="WLL378" t="str">
        <f>"628669010033"</f>
        <v>628669010033</v>
      </c>
      <c r="WLM378" t="str">
        <f>"0419671"</f>
        <v>0419671</v>
      </c>
      <c r="WLN378" t="s">
        <v>199</v>
      </c>
      <c r="WLO378" t="s">
        <v>25</v>
      </c>
      <c r="WLP378">
        <v>24</v>
      </c>
      <c r="WLQ378">
        <v>0.05</v>
      </c>
      <c r="WLR378">
        <v>1</v>
      </c>
      <c r="WLS378" t="s">
        <v>531</v>
      </c>
      <c r="WLT378" t="str">
        <f>"628669010033"</f>
        <v>628669010033</v>
      </c>
      <c r="WLU378" t="str">
        <f>"0419671"</f>
        <v>0419671</v>
      </c>
      <c r="WLV378" t="s">
        <v>199</v>
      </c>
      <c r="WLW378" t="s">
        <v>25</v>
      </c>
      <c r="WLX378">
        <v>24</v>
      </c>
      <c r="WLY378">
        <v>0.05</v>
      </c>
      <c r="WLZ378">
        <v>1</v>
      </c>
      <c r="WMA378" t="s">
        <v>531</v>
      </c>
      <c r="WMB378" t="str">
        <f>"628669010033"</f>
        <v>628669010033</v>
      </c>
      <c r="WMC378" t="str">
        <f>"0419671"</f>
        <v>0419671</v>
      </c>
      <c r="WMD378" t="s">
        <v>199</v>
      </c>
      <c r="WME378" t="s">
        <v>25</v>
      </c>
      <c r="WMF378">
        <v>24</v>
      </c>
      <c r="WMG378">
        <v>0.05</v>
      </c>
      <c r="WMH378">
        <v>1</v>
      </c>
      <c r="WMI378" t="s">
        <v>531</v>
      </c>
      <c r="WMJ378" t="str">
        <f>"628669010033"</f>
        <v>628669010033</v>
      </c>
      <c r="WMK378" t="str">
        <f>"0419671"</f>
        <v>0419671</v>
      </c>
      <c r="WML378" t="s">
        <v>199</v>
      </c>
      <c r="WMM378" t="s">
        <v>25</v>
      </c>
      <c r="WMN378">
        <v>24</v>
      </c>
      <c r="WMO378">
        <v>0.05</v>
      </c>
      <c r="WMP378">
        <v>1</v>
      </c>
      <c r="WMQ378" t="s">
        <v>531</v>
      </c>
      <c r="WMR378" t="str">
        <f>"628669010033"</f>
        <v>628669010033</v>
      </c>
      <c r="WMS378" t="str">
        <f>"0419671"</f>
        <v>0419671</v>
      </c>
      <c r="WMT378" t="s">
        <v>199</v>
      </c>
      <c r="WMU378" t="s">
        <v>25</v>
      </c>
      <c r="WMV378">
        <v>24</v>
      </c>
      <c r="WMW378">
        <v>0.05</v>
      </c>
      <c r="WMX378">
        <v>1</v>
      </c>
      <c r="WMY378" t="s">
        <v>531</v>
      </c>
      <c r="WMZ378" t="str">
        <f>"628669010033"</f>
        <v>628669010033</v>
      </c>
      <c r="WNA378" t="str">
        <f>"0419671"</f>
        <v>0419671</v>
      </c>
      <c r="WNB378" t="s">
        <v>199</v>
      </c>
      <c r="WNC378" t="s">
        <v>25</v>
      </c>
      <c r="WND378">
        <v>24</v>
      </c>
      <c r="WNE378">
        <v>0.05</v>
      </c>
      <c r="WNF378">
        <v>1</v>
      </c>
      <c r="WNG378" t="s">
        <v>531</v>
      </c>
      <c r="WNH378" t="str">
        <f>"628669010033"</f>
        <v>628669010033</v>
      </c>
      <c r="WNI378" t="str">
        <f>"0419671"</f>
        <v>0419671</v>
      </c>
      <c r="WNJ378" t="s">
        <v>199</v>
      </c>
      <c r="WNK378" t="s">
        <v>25</v>
      </c>
      <c r="WNL378">
        <v>24</v>
      </c>
      <c r="WNM378">
        <v>0.05</v>
      </c>
      <c r="WNN378">
        <v>1</v>
      </c>
      <c r="WNO378" t="s">
        <v>531</v>
      </c>
      <c r="WNP378" t="str">
        <f>"628669010033"</f>
        <v>628669010033</v>
      </c>
      <c r="WNQ378" t="str">
        <f>"0419671"</f>
        <v>0419671</v>
      </c>
      <c r="WNR378" t="s">
        <v>199</v>
      </c>
      <c r="WNS378" t="s">
        <v>25</v>
      </c>
      <c r="WNT378">
        <v>24</v>
      </c>
      <c r="WNU378">
        <v>0.05</v>
      </c>
      <c r="WNV378">
        <v>1</v>
      </c>
      <c r="WNW378" t="s">
        <v>531</v>
      </c>
      <c r="WNX378" t="str">
        <f>"628669010033"</f>
        <v>628669010033</v>
      </c>
      <c r="WNY378" t="str">
        <f>"0419671"</f>
        <v>0419671</v>
      </c>
      <c r="WNZ378" t="s">
        <v>199</v>
      </c>
      <c r="WOA378" t="s">
        <v>25</v>
      </c>
      <c r="WOB378">
        <v>24</v>
      </c>
      <c r="WOC378">
        <v>0.05</v>
      </c>
      <c r="WOD378">
        <v>1</v>
      </c>
      <c r="WOE378" t="s">
        <v>531</v>
      </c>
      <c r="WOF378" t="str">
        <f>"628669010033"</f>
        <v>628669010033</v>
      </c>
      <c r="WOG378" t="str">
        <f>"0419671"</f>
        <v>0419671</v>
      </c>
      <c r="WOH378" t="s">
        <v>199</v>
      </c>
      <c r="WOI378" t="s">
        <v>25</v>
      </c>
      <c r="WOJ378">
        <v>24</v>
      </c>
      <c r="WOK378">
        <v>0.05</v>
      </c>
      <c r="WOL378">
        <v>1</v>
      </c>
      <c r="WOM378" t="s">
        <v>531</v>
      </c>
      <c r="WON378" t="str">
        <f>"628669010033"</f>
        <v>628669010033</v>
      </c>
      <c r="WOO378" t="str">
        <f>"0419671"</f>
        <v>0419671</v>
      </c>
      <c r="WOP378" t="s">
        <v>199</v>
      </c>
      <c r="WOQ378" t="s">
        <v>25</v>
      </c>
      <c r="WOR378">
        <v>24</v>
      </c>
      <c r="WOS378">
        <v>0.05</v>
      </c>
      <c r="WOT378">
        <v>1</v>
      </c>
      <c r="WOU378" t="s">
        <v>531</v>
      </c>
      <c r="WOV378" t="str">
        <f>"628669010033"</f>
        <v>628669010033</v>
      </c>
      <c r="WOW378" t="str">
        <f>"0419671"</f>
        <v>0419671</v>
      </c>
      <c r="WOX378" t="s">
        <v>199</v>
      </c>
      <c r="WOY378" t="s">
        <v>25</v>
      </c>
      <c r="WOZ378">
        <v>24</v>
      </c>
      <c r="WPA378">
        <v>0.05</v>
      </c>
      <c r="WPB378">
        <v>1</v>
      </c>
      <c r="WPC378" t="s">
        <v>531</v>
      </c>
      <c r="WPD378" t="str">
        <f>"628669010033"</f>
        <v>628669010033</v>
      </c>
      <c r="WPE378" t="str">
        <f>"0419671"</f>
        <v>0419671</v>
      </c>
      <c r="WPF378" t="s">
        <v>199</v>
      </c>
      <c r="WPG378" t="s">
        <v>25</v>
      </c>
      <c r="WPH378">
        <v>24</v>
      </c>
      <c r="WPI378">
        <v>0.05</v>
      </c>
      <c r="WPJ378">
        <v>1</v>
      </c>
      <c r="WPK378" t="s">
        <v>531</v>
      </c>
      <c r="WPL378" t="str">
        <f>"628669010033"</f>
        <v>628669010033</v>
      </c>
      <c r="WPM378" t="str">
        <f>"0419671"</f>
        <v>0419671</v>
      </c>
      <c r="WPN378" t="s">
        <v>199</v>
      </c>
      <c r="WPO378" t="s">
        <v>25</v>
      </c>
      <c r="WPP378">
        <v>24</v>
      </c>
      <c r="WPQ378">
        <v>0.05</v>
      </c>
      <c r="WPR378">
        <v>1</v>
      </c>
      <c r="WPS378" t="s">
        <v>531</v>
      </c>
      <c r="WPT378" t="str">
        <f>"628669010033"</f>
        <v>628669010033</v>
      </c>
      <c r="WPU378" t="str">
        <f>"0419671"</f>
        <v>0419671</v>
      </c>
      <c r="WPV378" t="s">
        <v>199</v>
      </c>
      <c r="WPW378" t="s">
        <v>25</v>
      </c>
      <c r="WPX378">
        <v>24</v>
      </c>
      <c r="WPY378">
        <v>0.05</v>
      </c>
      <c r="WPZ378">
        <v>1</v>
      </c>
      <c r="WQA378" t="s">
        <v>531</v>
      </c>
      <c r="WQB378" t="str">
        <f>"628669010033"</f>
        <v>628669010033</v>
      </c>
      <c r="WQC378" t="str">
        <f>"0419671"</f>
        <v>0419671</v>
      </c>
      <c r="WQD378" t="s">
        <v>199</v>
      </c>
      <c r="WQE378" t="s">
        <v>25</v>
      </c>
      <c r="WQF378">
        <v>24</v>
      </c>
      <c r="WQG378">
        <v>0.05</v>
      </c>
      <c r="WQH378">
        <v>1</v>
      </c>
      <c r="WQI378" t="s">
        <v>531</v>
      </c>
      <c r="WQJ378" t="str">
        <f>"628669010033"</f>
        <v>628669010033</v>
      </c>
      <c r="WQK378" t="str">
        <f>"0419671"</f>
        <v>0419671</v>
      </c>
      <c r="WQL378" t="s">
        <v>199</v>
      </c>
      <c r="WQM378" t="s">
        <v>25</v>
      </c>
      <c r="WQN378">
        <v>24</v>
      </c>
      <c r="WQO378">
        <v>0.05</v>
      </c>
      <c r="WQP378">
        <v>1</v>
      </c>
      <c r="WQQ378" t="s">
        <v>531</v>
      </c>
      <c r="WQR378" t="str">
        <f>"628669010033"</f>
        <v>628669010033</v>
      </c>
      <c r="WQS378" t="str">
        <f>"0419671"</f>
        <v>0419671</v>
      </c>
      <c r="WQT378" t="s">
        <v>199</v>
      </c>
      <c r="WQU378" t="s">
        <v>25</v>
      </c>
      <c r="WQV378">
        <v>24</v>
      </c>
      <c r="WQW378">
        <v>0.05</v>
      </c>
      <c r="WQX378">
        <v>1</v>
      </c>
      <c r="WQY378" t="s">
        <v>531</v>
      </c>
      <c r="WQZ378" t="str">
        <f>"628669010033"</f>
        <v>628669010033</v>
      </c>
      <c r="WRA378" t="str">
        <f>"0419671"</f>
        <v>0419671</v>
      </c>
      <c r="WRB378" t="s">
        <v>199</v>
      </c>
      <c r="WRC378" t="s">
        <v>25</v>
      </c>
      <c r="WRD378">
        <v>24</v>
      </c>
      <c r="WRE378">
        <v>0.05</v>
      </c>
      <c r="WRF378">
        <v>1</v>
      </c>
      <c r="WRG378" t="s">
        <v>531</v>
      </c>
      <c r="WRH378" t="str">
        <f>"628669010033"</f>
        <v>628669010033</v>
      </c>
      <c r="WRI378" t="str">
        <f>"0419671"</f>
        <v>0419671</v>
      </c>
      <c r="WRJ378" t="s">
        <v>199</v>
      </c>
      <c r="WRK378" t="s">
        <v>25</v>
      </c>
      <c r="WRL378">
        <v>24</v>
      </c>
      <c r="WRM378">
        <v>0.05</v>
      </c>
      <c r="WRN378">
        <v>1</v>
      </c>
      <c r="WRO378" t="s">
        <v>531</v>
      </c>
      <c r="WRP378" t="str">
        <f>"628669010033"</f>
        <v>628669010033</v>
      </c>
      <c r="WRQ378" t="str">
        <f>"0419671"</f>
        <v>0419671</v>
      </c>
      <c r="WRR378" t="s">
        <v>199</v>
      </c>
      <c r="WRS378" t="s">
        <v>25</v>
      </c>
      <c r="WRT378">
        <v>24</v>
      </c>
      <c r="WRU378">
        <v>0.05</v>
      </c>
      <c r="WRV378">
        <v>1</v>
      </c>
      <c r="WRW378" t="s">
        <v>531</v>
      </c>
      <c r="WRX378" t="str">
        <f>"628669010033"</f>
        <v>628669010033</v>
      </c>
      <c r="WRY378" t="str">
        <f>"0419671"</f>
        <v>0419671</v>
      </c>
      <c r="WRZ378" t="s">
        <v>199</v>
      </c>
      <c r="WSA378" t="s">
        <v>25</v>
      </c>
      <c r="WSB378">
        <v>24</v>
      </c>
      <c r="WSC378">
        <v>0.05</v>
      </c>
      <c r="WSD378">
        <v>1</v>
      </c>
      <c r="WSE378" t="s">
        <v>531</v>
      </c>
      <c r="WSF378" t="str">
        <f>"628669010033"</f>
        <v>628669010033</v>
      </c>
      <c r="WSG378" t="str">
        <f>"0419671"</f>
        <v>0419671</v>
      </c>
      <c r="WSH378" t="s">
        <v>199</v>
      </c>
      <c r="WSI378" t="s">
        <v>25</v>
      </c>
      <c r="WSJ378">
        <v>24</v>
      </c>
      <c r="WSK378">
        <v>0.05</v>
      </c>
      <c r="WSL378">
        <v>1</v>
      </c>
      <c r="WSM378" t="s">
        <v>531</v>
      </c>
      <c r="WSN378" t="str">
        <f>"628669010033"</f>
        <v>628669010033</v>
      </c>
      <c r="WSO378" t="str">
        <f>"0419671"</f>
        <v>0419671</v>
      </c>
      <c r="WSP378" t="s">
        <v>199</v>
      </c>
      <c r="WSQ378" t="s">
        <v>25</v>
      </c>
      <c r="WSR378">
        <v>24</v>
      </c>
      <c r="WSS378">
        <v>0.05</v>
      </c>
      <c r="WST378">
        <v>1</v>
      </c>
      <c r="WSU378" t="s">
        <v>531</v>
      </c>
      <c r="WSV378" t="str">
        <f>"628669010033"</f>
        <v>628669010033</v>
      </c>
      <c r="WSW378" t="str">
        <f>"0419671"</f>
        <v>0419671</v>
      </c>
      <c r="WSX378" t="s">
        <v>199</v>
      </c>
      <c r="WSY378" t="s">
        <v>25</v>
      </c>
      <c r="WSZ378">
        <v>24</v>
      </c>
      <c r="WTA378">
        <v>0.05</v>
      </c>
      <c r="WTB378">
        <v>1</v>
      </c>
      <c r="WTC378" t="s">
        <v>531</v>
      </c>
      <c r="WTD378" t="str">
        <f>"628669010033"</f>
        <v>628669010033</v>
      </c>
      <c r="WTE378" t="str">
        <f>"0419671"</f>
        <v>0419671</v>
      </c>
      <c r="WTF378" t="s">
        <v>199</v>
      </c>
      <c r="WTG378" t="s">
        <v>25</v>
      </c>
      <c r="WTH378">
        <v>24</v>
      </c>
      <c r="WTI378">
        <v>0.05</v>
      </c>
      <c r="WTJ378">
        <v>1</v>
      </c>
      <c r="WTK378" t="s">
        <v>531</v>
      </c>
      <c r="WTL378" t="str">
        <f>"628669010033"</f>
        <v>628669010033</v>
      </c>
      <c r="WTM378" t="str">
        <f>"0419671"</f>
        <v>0419671</v>
      </c>
      <c r="WTN378" t="s">
        <v>199</v>
      </c>
      <c r="WTO378" t="s">
        <v>25</v>
      </c>
      <c r="WTP378">
        <v>24</v>
      </c>
      <c r="WTQ378">
        <v>0.05</v>
      </c>
      <c r="WTR378">
        <v>1</v>
      </c>
      <c r="WTS378" t="s">
        <v>531</v>
      </c>
      <c r="WTT378" t="str">
        <f>"628669010033"</f>
        <v>628669010033</v>
      </c>
      <c r="WTU378" t="str">
        <f>"0419671"</f>
        <v>0419671</v>
      </c>
      <c r="WTV378" t="s">
        <v>199</v>
      </c>
      <c r="WTW378" t="s">
        <v>25</v>
      </c>
      <c r="WTX378">
        <v>24</v>
      </c>
      <c r="WTY378">
        <v>0.05</v>
      </c>
      <c r="WTZ378">
        <v>1</v>
      </c>
      <c r="WUA378" t="s">
        <v>531</v>
      </c>
      <c r="WUB378" t="str">
        <f>"628669010033"</f>
        <v>628669010033</v>
      </c>
      <c r="WUC378" t="str">
        <f>"0419671"</f>
        <v>0419671</v>
      </c>
      <c r="WUD378" t="s">
        <v>199</v>
      </c>
      <c r="WUE378" t="s">
        <v>25</v>
      </c>
      <c r="WUF378">
        <v>24</v>
      </c>
      <c r="WUG378">
        <v>0.05</v>
      </c>
      <c r="WUH378">
        <v>1</v>
      </c>
      <c r="WUI378" t="s">
        <v>531</v>
      </c>
      <c r="WUJ378" t="str">
        <f>"628669010033"</f>
        <v>628669010033</v>
      </c>
      <c r="WUK378" t="str">
        <f>"0419671"</f>
        <v>0419671</v>
      </c>
      <c r="WUL378" t="s">
        <v>199</v>
      </c>
      <c r="WUM378" t="s">
        <v>25</v>
      </c>
      <c r="WUN378">
        <v>24</v>
      </c>
      <c r="WUO378">
        <v>0.05</v>
      </c>
      <c r="WUP378">
        <v>1</v>
      </c>
      <c r="WUQ378" t="s">
        <v>531</v>
      </c>
      <c r="WUR378" t="str">
        <f>"628669010033"</f>
        <v>628669010033</v>
      </c>
      <c r="WUS378" t="str">
        <f>"0419671"</f>
        <v>0419671</v>
      </c>
      <c r="WUT378" t="s">
        <v>199</v>
      </c>
      <c r="WUU378" t="s">
        <v>25</v>
      </c>
      <c r="WUV378">
        <v>24</v>
      </c>
      <c r="WUW378">
        <v>0.05</v>
      </c>
      <c r="WUX378">
        <v>1</v>
      </c>
      <c r="WUY378" t="s">
        <v>531</v>
      </c>
      <c r="WUZ378" t="str">
        <f>"628669010033"</f>
        <v>628669010033</v>
      </c>
      <c r="WVA378" t="str">
        <f>"0419671"</f>
        <v>0419671</v>
      </c>
      <c r="WVB378" t="s">
        <v>199</v>
      </c>
      <c r="WVC378" t="s">
        <v>25</v>
      </c>
      <c r="WVD378">
        <v>24</v>
      </c>
      <c r="WVE378">
        <v>0.05</v>
      </c>
      <c r="WVF378">
        <v>1</v>
      </c>
      <c r="WVG378" t="s">
        <v>531</v>
      </c>
      <c r="WVH378" t="str">
        <f>"628669010033"</f>
        <v>628669010033</v>
      </c>
      <c r="WVI378" t="str">
        <f>"0419671"</f>
        <v>0419671</v>
      </c>
      <c r="WVJ378" t="s">
        <v>199</v>
      </c>
      <c r="WVK378" t="s">
        <v>25</v>
      </c>
      <c r="WVL378">
        <v>24</v>
      </c>
      <c r="WVM378">
        <v>0.05</v>
      </c>
      <c r="WVN378">
        <v>1</v>
      </c>
      <c r="WVO378" t="s">
        <v>531</v>
      </c>
      <c r="WVP378" t="str">
        <f>"628669010033"</f>
        <v>628669010033</v>
      </c>
      <c r="WVQ378" t="str">
        <f>"0419671"</f>
        <v>0419671</v>
      </c>
      <c r="WVR378" t="s">
        <v>199</v>
      </c>
      <c r="WVS378" t="s">
        <v>25</v>
      </c>
      <c r="WVT378">
        <v>24</v>
      </c>
      <c r="WVU378">
        <v>0.05</v>
      </c>
      <c r="WVV378">
        <v>1</v>
      </c>
      <c r="WVW378" t="s">
        <v>531</v>
      </c>
      <c r="WVX378" t="str">
        <f>"628669010033"</f>
        <v>628669010033</v>
      </c>
      <c r="WVY378" t="str">
        <f>"0419671"</f>
        <v>0419671</v>
      </c>
      <c r="WVZ378" t="s">
        <v>199</v>
      </c>
      <c r="WWA378" t="s">
        <v>25</v>
      </c>
      <c r="WWB378">
        <v>24</v>
      </c>
      <c r="WWC378">
        <v>0.05</v>
      </c>
      <c r="WWD378">
        <v>1</v>
      </c>
      <c r="WWE378" t="s">
        <v>531</v>
      </c>
      <c r="WWF378" t="str">
        <f>"628669010033"</f>
        <v>628669010033</v>
      </c>
      <c r="WWG378" t="str">
        <f>"0419671"</f>
        <v>0419671</v>
      </c>
      <c r="WWH378" t="s">
        <v>199</v>
      </c>
      <c r="WWI378" t="s">
        <v>25</v>
      </c>
      <c r="WWJ378">
        <v>24</v>
      </c>
      <c r="WWK378">
        <v>0.05</v>
      </c>
      <c r="WWL378">
        <v>1</v>
      </c>
      <c r="WWM378" t="s">
        <v>531</v>
      </c>
      <c r="WWN378" t="str">
        <f>"628669010033"</f>
        <v>628669010033</v>
      </c>
      <c r="WWO378" t="str">
        <f>"0419671"</f>
        <v>0419671</v>
      </c>
      <c r="WWP378" t="s">
        <v>199</v>
      </c>
      <c r="WWQ378" t="s">
        <v>25</v>
      </c>
      <c r="WWR378">
        <v>24</v>
      </c>
      <c r="WWS378">
        <v>0.05</v>
      </c>
      <c r="WWT378">
        <v>1</v>
      </c>
      <c r="WWU378" t="s">
        <v>531</v>
      </c>
      <c r="WWV378" t="str">
        <f>"628669010033"</f>
        <v>628669010033</v>
      </c>
      <c r="WWW378" t="str">
        <f>"0419671"</f>
        <v>0419671</v>
      </c>
      <c r="WWX378" t="s">
        <v>199</v>
      </c>
      <c r="WWY378" t="s">
        <v>25</v>
      </c>
      <c r="WWZ378">
        <v>24</v>
      </c>
      <c r="WXA378">
        <v>0.05</v>
      </c>
      <c r="WXB378">
        <v>1</v>
      </c>
      <c r="WXC378" t="s">
        <v>531</v>
      </c>
      <c r="WXD378" t="str">
        <f>"628669010033"</f>
        <v>628669010033</v>
      </c>
      <c r="WXE378" t="str">
        <f>"0419671"</f>
        <v>0419671</v>
      </c>
      <c r="WXF378" t="s">
        <v>199</v>
      </c>
      <c r="WXG378" t="s">
        <v>25</v>
      </c>
      <c r="WXH378">
        <v>24</v>
      </c>
      <c r="WXI378">
        <v>0.05</v>
      </c>
      <c r="WXJ378">
        <v>1</v>
      </c>
      <c r="WXK378" t="s">
        <v>531</v>
      </c>
      <c r="WXL378" t="str">
        <f>"628669010033"</f>
        <v>628669010033</v>
      </c>
      <c r="WXM378" t="str">
        <f>"0419671"</f>
        <v>0419671</v>
      </c>
      <c r="WXN378" t="s">
        <v>199</v>
      </c>
      <c r="WXO378" t="s">
        <v>25</v>
      </c>
      <c r="WXP378">
        <v>24</v>
      </c>
      <c r="WXQ378">
        <v>0.05</v>
      </c>
      <c r="WXR378">
        <v>1</v>
      </c>
      <c r="WXS378" t="s">
        <v>531</v>
      </c>
      <c r="WXT378" t="str">
        <f>"628669010033"</f>
        <v>628669010033</v>
      </c>
      <c r="WXU378" t="str">
        <f>"0419671"</f>
        <v>0419671</v>
      </c>
      <c r="WXV378" t="s">
        <v>199</v>
      </c>
      <c r="WXW378" t="s">
        <v>25</v>
      </c>
      <c r="WXX378">
        <v>24</v>
      </c>
      <c r="WXY378">
        <v>0.05</v>
      </c>
      <c r="WXZ378">
        <v>1</v>
      </c>
      <c r="WYA378" t="s">
        <v>531</v>
      </c>
      <c r="WYB378" t="str">
        <f>"628669010033"</f>
        <v>628669010033</v>
      </c>
      <c r="WYC378" t="str">
        <f>"0419671"</f>
        <v>0419671</v>
      </c>
      <c r="WYD378" t="s">
        <v>199</v>
      </c>
      <c r="WYE378" t="s">
        <v>25</v>
      </c>
      <c r="WYF378">
        <v>24</v>
      </c>
      <c r="WYG378">
        <v>0.05</v>
      </c>
      <c r="WYH378">
        <v>1</v>
      </c>
      <c r="WYI378" t="s">
        <v>531</v>
      </c>
      <c r="WYJ378" t="str">
        <f>"628669010033"</f>
        <v>628669010033</v>
      </c>
      <c r="WYK378" t="str">
        <f>"0419671"</f>
        <v>0419671</v>
      </c>
      <c r="WYL378" t="s">
        <v>199</v>
      </c>
      <c r="WYM378" t="s">
        <v>25</v>
      </c>
      <c r="WYN378">
        <v>24</v>
      </c>
      <c r="WYO378">
        <v>0.05</v>
      </c>
      <c r="WYP378">
        <v>1</v>
      </c>
      <c r="WYQ378" t="s">
        <v>531</v>
      </c>
      <c r="WYR378" t="str">
        <f>"628669010033"</f>
        <v>628669010033</v>
      </c>
      <c r="WYS378" t="str">
        <f>"0419671"</f>
        <v>0419671</v>
      </c>
      <c r="WYT378" t="s">
        <v>199</v>
      </c>
      <c r="WYU378" t="s">
        <v>25</v>
      </c>
      <c r="WYV378">
        <v>24</v>
      </c>
      <c r="WYW378">
        <v>0.05</v>
      </c>
      <c r="WYX378">
        <v>1</v>
      </c>
      <c r="WYY378" t="s">
        <v>531</v>
      </c>
      <c r="WYZ378" t="str">
        <f>"628669010033"</f>
        <v>628669010033</v>
      </c>
      <c r="WZA378" t="str">
        <f>"0419671"</f>
        <v>0419671</v>
      </c>
      <c r="WZB378" t="s">
        <v>199</v>
      </c>
      <c r="WZC378" t="s">
        <v>25</v>
      </c>
      <c r="WZD378">
        <v>24</v>
      </c>
      <c r="WZE378">
        <v>0.05</v>
      </c>
      <c r="WZF378">
        <v>1</v>
      </c>
      <c r="WZG378" t="s">
        <v>531</v>
      </c>
      <c r="WZH378" t="str">
        <f>"628669010033"</f>
        <v>628669010033</v>
      </c>
      <c r="WZI378" t="str">
        <f>"0419671"</f>
        <v>0419671</v>
      </c>
      <c r="WZJ378" t="s">
        <v>199</v>
      </c>
      <c r="WZK378" t="s">
        <v>25</v>
      </c>
      <c r="WZL378">
        <v>24</v>
      </c>
      <c r="WZM378">
        <v>0.05</v>
      </c>
      <c r="WZN378">
        <v>1</v>
      </c>
      <c r="WZO378" t="s">
        <v>531</v>
      </c>
      <c r="WZP378" t="str">
        <f>"628669010033"</f>
        <v>628669010033</v>
      </c>
      <c r="WZQ378" t="str">
        <f>"0419671"</f>
        <v>0419671</v>
      </c>
      <c r="WZR378" t="s">
        <v>199</v>
      </c>
      <c r="WZS378" t="s">
        <v>25</v>
      </c>
      <c r="WZT378">
        <v>24</v>
      </c>
      <c r="WZU378">
        <v>0.05</v>
      </c>
      <c r="WZV378">
        <v>1</v>
      </c>
      <c r="WZW378" t="s">
        <v>531</v>
      </c>
      <c r="WZX378" t="str">
        <f>"628669010033"</f>
        <v>628669010033</v>
      </c>
      <c r="WZY378" t="str">
        <f>"0419671"</f>
        <v>0419671</v>
      </c>
      <c r="WZZ378" t="s">
        <v>199</v>
      </c>
      <c r="XAA378" t="s">
        <v>25</v>
      </c>
      <c r="XAB378">
        <v>24</v>
      </c>
      <c r="XAC378">
        <v>0.05</v>
      </c>
      <c r="XAD378">
        <v>1</v>
      </c>
      <c r="XAE378" t="s">
        <v>531</v>
      </c>
      <c r="XAF378" t="str">
        <f>"628669010033"</f>
        <v>628669010033</v>
      </c>
      <c r="XAG378" t="str">
        <f>"0419671"</f>
        <v>0419671</v>
      </c>
      <c r="XAH378" t="s">
        <v>199</v>
      </c>
      <c r="XAI378" t="s">
        <v>25</v>
      </c>
      <c r="XAJ378">
        <v>24</v>
      </c>
      <c r="XAK378">
        <v>0.05</v>
      </c>
      <c r="XAL378">
        <v>1</v>
      </c>
      <c r="XAM378" t="s">
        <v>531</v>
      </c>
      <c r="XAN378" t="str">
        <f>"628669010033"</f>
        <v>628669010033</v>
      </c>
      <c r="XAO378" t="str">
        <f>"0419671"</f>
        <v>0419671</v>
      </c>
      <c r="XAP378" t="s">
        <v>199</v>
      </c>
      <c r="XAQ378" t="s">
        <v>25</v>
      </c>
      <c r="XAR378">
        <v>24</v>
      </c>
      <c r="XAS378">
        <v>0.05</v>
      </c>
      <c r="XAT378">
        <v>1</v>
      </c>
      <c r="XAU378" t="s">
        <v>531</v>
      </c>
      <c r="XAV378" t="str">
        <f>"628669010033"</f>
        <v>628669010033</v>
      </c>
      <c r="XAW378" t="str">
        <f>"0419671"</f>
        <v>0419671</v>
      </c>
      <c r="XAX378" t="s">
        <v>199</v>
      </c>
      <c r="XAY378" t="s">
        <v>25</v>
      </c>
      <c r="XAZ378">
        <v>24</v>
      </c>
      <c r="XBA378">
        <v>0.05</v>
      </c>
      <c r="XBB378">
        <v>1</v>
      </c>
      <c r="XBC378" t="s">
        <v>531</v>
      </c>
      <c r="XBD378" t="str">
        <f>"628669010033"</f>
        <v>628669010033</v>
      </c>
      <c r="XBE378" t="str">
        <f>"0419671"</f>
        <v>0419671</v>
      </c>
      <c r="XBF378" t="s">
        <v>199</v>
      </c>
      <c r="XBG378" t="s">
        <v>25</v>
      </c>
      <c r="XBH378">
        <v>24</v>
      </c>
      <c r="XBI378">
        <v>0.05</v>
      </c>
      <c r="XBJ378">
        <v>1</v>
      </c>
      <c r="XBK378" t="s">
        <v>531</v>
      </c>
      <c r="XBL378" t="str">
        <f>"628669010033"</f>
        <v>628669010033</v>
      </c>
      <c r="XBM378" t="str">
        <f>"0419671"</f>
        <v>0419671</v>
      </c>
      <c r="XBN378" t="s">
        <v>199</v>
      </c>
      <c r="XBO378" t="s">
        <v>25</v>
      </c>
      <c r="XBP378">
        <v>24</v>
      </c>
      <c r="XBQ378">
        <v>0.05</v>
      </c>
      <c r="XBR378">
        <v>1</v>
      </c>
      <c r="XBS378" t="s">
        <v>531</v>
      </c>
      <c r="XBT378" t="str">
        <f>"628669010033"</f>
        <v>628669010033</v>
      </c>
      <c r="XBU378" t="str">
        <f>"0419671"</f>
        <v>0419671</v>
      </c>
      <c r="XBV378" t="s">
        <v>199</v>
      </c>
      <c r="XBW378" t="s">
        <v>25</v>
      </c>
      <c r="XBX378">
        <v>24</v>
      </c>
      <c r="XBY378">
        <v>0.05</v>
      </c>
      <c r="XBZ378">
        <v>1</v>
      </c>
      <c r="XCA378" t="s">
        <v>531</v>
      </c>
      <c r="XCB378" t="str">
        <f>"628669010033"</f>
        <v>628669010033</v>
      </c>
      <c r="XCC378" t="str">
        <f>"0419671"</f>
        <v>0419671</v>
      </c>
      <c r="XCD378" t="s">
        <v>199</v>
      </c>
      <c r="XCE378" t="s">
        <v>25</v>
      </c>
      <c r="XCF378">
        <v>24</v>
      </c>
      <c r="XCG378">
        <v>0.05</v>
      </c>
      <c r="XCH378">
        <v>1</v>
      </c>
      <c r="XCI378" t="s">
        <v>531</v>
      </c>
      <c r="XCJ378" t="str">
        <f>"628669010033"</f>
        <v>628669010033</v>
      </c>
      <c r="XCK378" t="str">
        <f>"0419671"</f>
        <v>0419671</v>
      </c>
      <c r="XCL378" t="s">
        <v>199</v>
      </c>
      <c r="XCM378" t="s">
        <v>25</v>
      </c>
      <c r="XCN378">
        <v>24</v>
      </c>
      <c r="XCO378">
        <v>0.05</v>
      </c>
      <c r="XCP378">
        <v>1</v>
      </c>
      <c r="XCQ378" t="s">
        <v>531</v>
      </c>
      <c r="XCR378" t="str">
        <f>"628669010033"</f>
        <v>628669010033</v>
      </c>
      <c r="XCS378" t="str">
        <f>"0419671"</f>
        <v>0419671</v>
      </c>
      <c r="XCT378" t="s">
        <v>199</v>
      </c>
      <c r="XCU378" t="s">
        <v>25</v>
      </c>
      <c r="XCV378">
        <v>24</v>
      </c>
      <c r="XCW378">
        <v>0.05</v>
      </c>
      <c r="XCX378">
        <v>1</v>
      </c>
      <c r="XCY378" t="s">
        <v>531</v>
      </c>
      <c r="XCZ378" t="str">
        <f>"628669010033"</f>
        <v>628669010033</v>
      </c>
      <c r="XDA378" t="str">
        <f>"0419671"</f>
        <v>0419671</v>
      </c>
      <c r="XDB378" t="s">
        <v>199</v>
      </c>
      <c r="XDC378" t="s">
        <v>25</v>
      </c>
      <c r="XDD378">
        <v>24</v>
      </c>
      <c r="XDE378">
        <v>0.05</v>
      </c>
      <c r="XDF378">
        <v>1</v>
      </c>
      <c r="XDG378" t="s">
        <v>531</v>
      </c>
      <c r="XDH378" t="str">
        <f>"628669010033"</f>
        <v>628669010033</v>
      </c>
      <c r="XDI378" t="str">
        <f>"0419671"</f>
        <v>0419671</v>
      </c>
      <c r="XDJ378" t="s">
        <v>199</v>
      </c>
      <c r="XDK378" t="s">
        <v>25</v>
      </c>
      <c r="XDL378">
        <v>24</v>
      </c>
      <c r="XDM378">
        <v>0.05</v>
      </c>
      <c r="XDN378">
        <v>1</v>
      </c>
      <c r="XDO378" t="s">
        <v>531</v>
      </c>
      <c r="XDP378" t="str">
        <f>"628669010033"</f>
        <v>628669010033</v>
      </c>
      <c r="XDQ378" t="str">
        <f>"0419671"</f>
        <v>0419671</v>
      </c>
      <c r="XDR378" t="s">
        <v>199</v>
      </c>
      <c r="XDS378" t="s">
        <v>25</v>
      </c>
      <c r="XDT378">
        <v>24</v>
      </c>
      <c r="XDU378">
        <v>0.05</v>
      </c>
      <c r="XDV378">
        <v>1</v>
      </c>
      <c r="XDW378" t="s">
        <v>531</v>
      </c>
      <c r="XDX378" t="str">
        <f>"628669010033"</f>
        <v>628669010033</v>
      </c>
      <c r="XDY378" t="str">
        <f>"0419671"</f>
        <v>0419671</v>
      </c>
      <c r="XDZ378" t="s">
        <v>199</v>
      </c>
      <c r="XEA378" t="s">
        <v>25</v>
      </c>
      <c r="XEB378">
        <v>24</v>
      </c>
      <c r="XEC378">
        <v>0.05</v>
      </c>
      <c r="XED378">
        <v>1</v>
      </c>
      <c r="XEE378" t="s">
        <v>531</v>
      </c>
      <c r="XEF378" t="str">
        <f>"628669010033"</f>
        <v>628669010033</v>
      </c>
      <c r="XEG378" t="str">
        <f>"0419671"</f>
        <v>0419671</v>
      </c>
      <c r="XEH378" t="s">
        <v>199</v>
      </c>
      <c r="XEI378" t="s">
        <v>25</v>
      </c>
      <c r="XEJ378">
        <v>24</v>
      </c>
      <c r="XEK378">
        <v>0.05</v>
      </c>
      <c r="XEL378">
        <v>1</v>
      </c>
      <c r="XEM378" t="s">
        <v>531</v>
      </c>
      <c r="XEN378" t="str">
        <f>"628669010033"</f>
        <v>628669010033</v>
      </c>
      <c r="XEO378" t="str">
        <f>"0419671"</f>
        <v>0419671</v>
      </c>
      <c r="XEP378" t="s">
        <v>199</v>
      </c>
      <c r="XEQ378" t="s">
        <v>25</v>
      </c>
      <c r="XER378">
        <v>24</v>
      </c>
      <c r="XES378">
        <v>0.05</v>
      </c>
      <c r="XET378">
        <v>1</v>
      </c>
      <c r="XEU378" t="s">
        <v>531</v>
      </c>
      <c r="XEV378" t="str">
        <f>"628669010033"</f>
        <v>628669010033</v>
      </c>
      <c r="XEW378" t="str">
        <f>"0419671"</f>
        <v>0419671</v>
      </c>
      <c r="XEX378" t="s">
        <v>199</v>
      </c>
      <c r="XEY378" t="s">
        <v>25</v>
      </c>
      <c r="XEZ378">
        <v>24</v>
      </c>
      <c r="XFA378">
        <v>0.05</v>
      </c>
      <c r="XFB378">
        <v>1</v>
      </c>
      <c r="XFC378" t="s">
        <v>531</v>
      </c>
      <c r="XFD378" t="str">
        <f>"628669010033"</f>
        <v>628669010033</v>
      </c>
    </row>
    <row r="379" spans="1:16384" x14ac:dyDescent="0.3">
      <c r="A379" s="5" t="s">
        <v>535</v>
      </c>
      <c r="B379" s="6" t="s">
        <v>536</v>
      </c>
      <c r="C379" s="26" t="s">
        <v>537</v>
      </c>
      <c r="D379" s="5" t="s">
        <v>455</v>
      </c>
      <c r="E379" s="6" t="s">
        <v>5</v>
      </c>
      <c r="F379" s="8">
        <v>42850</v>
      </c>
    </row>
    <row r="380" spans="1:16384" x14ac:dyDescent="0.3">
      <c r="A380" s="5" t="s">
        <v>538</v>
      </c>
      <c r="B380" s="6" t="s">
        <v>539</v>
      </c>
      <c r="C380" s="26" t="s">
        <v>540</v>
      </c>
      <c r="D380" s="5" t="s">
        <v>455</v>
      </c>
      <c r="E380" s="6" t="s">
        <v>5</v>
      </c>
      <c r="F380" s="8">
        <v>42850</v>
      </c>
    </row>
    <row r="381" spans="1:16384" x14ac:dyDescent="0.3">
      <c r="A381" s="5" t="s">
        <v>541</v>
      </c>
      <c r="B381" s="6" t="s">
        <v>129</v>
      </c>
      <c r="C381" s="26" t="s">
        <v>542</v>
      </c>
      <c r="D381" s="5" t="s">
        <v>455</v>
      </c>
      <c r="E381" s="6" t="s">
        <v>5</v>
      </c>
      <c r="F381" s="8">
        <v>42850</v>
      </c>
    </row>
    <row r="382" spans="1:16384" x14ac:dyDescent="0.3">
      <c r="A382" s="5" t="str">
        <f>"0464032"</f>
        <v>0464032</v>
      </c>
      <c r="B382" s="6" t="s">
        <v>533</v>
      </c>
      <c r="C382" s="26" t="str">
        <f>"627843552697"</f>
        <v>627843552697</v>
      </c>
      <c r="D382" s="5" t="s">
        <v>25</v>
      </c>
      <c r="E382" s="6" t="s">
        <v>5</v>
      </c>
      <c r="F382" s="8">
        <v>42847</v>
      </c>
    </row>
    <row r="383" spans="1:16384" x14ac:dyDescent="0.3">
      <c r="A383" s="5" t="str">
        <f>"0499053"</f>
        <v>0499053</v>
      </c>
      <c r="B383" s="6" t="s">
        <v>529</v>
      </c>
      <c r="C383" s="26" t="str">
        <f>"779446202445"</f>
        <v>779446202445</v>
      </c>
      <c r="D383" s="5" t="s">
        <v>25</v>
      </c>
      <c r="E383" s="6" t="s">
        <v>530</v>
      </c>
      <c r="F383" s="8">
        <v>42845</v>
      </c>
    </row>
    <row r="384" spans="1:16384" x14ac:dyDescent="0.3">
      <c r="A384" s="5">
        <v>374488</v>
      </c>
      <c r="B384" s="6" t="s">
        <v>534</v>
      </c>
      <c r="C384" s="26">
        <v>5740700990632</v>
      </c>
      <c r="D384" s="5" t="s">
        <v>48</v>
      </c>
      <c r="E384" s="6" t="s">
        <v>5</v>
      </c>
      <c r="F384" s="8">
        <v>42844</v>
      </c>
    </row>
    <row r="385" spans="1:6" ht="27.95" x14ac:dyDescent="0.3">
      <c r="A385" s="5" t="str">
        <f>"0485334"</f>
        <v>0485334</v>
      </c>
      <c r="B385" s="6" t="s">
        <v>502</v>
      </c>
      <c r="C385" s="26" t="str">
        <f>"405392012066"</f>
        <v>405392012066</v>
      </c>
      <c r="D385" s="5" t="s">
        <v>202</v>
      </c>
      <c r="E385" s="9" t="s">
        <v>503</v>
      </c>
      <c r="F385" s="8">
        <v>42839</v>
      </c>
    </row>
    <row r="386" spans="1:6" s="35" customFormat="1" ht="55.9" x14ac:dyDescent="0.3">
      <c r="A386" s="50" t="str">
        <f>"0376756"</f>
        <v>0376756</v>
      </c>
      <c r="B386" s="42" t="s">
        <v>497</v>
      </c>
      <c r="C386" s="34" t="str">
        <f>"809381016002"</f>
        <v>809381016002</v>
      </c>
      <c r="D386" s="43" t="s">
        <v>202</v>
      </c>
      <c r="E386" s="9" t="s">
        <v>498</v>
      </c>
      <c r="F386" s="8">
        <v>42839</v>
      </c>
    </row>
    <row r="387" spans="1:6" ht="27.95" x14ac:dyDescent="0.3">
      <c r="A387" s="5" t="str">
        <f>"0334375"</f>
        <v>0334375</v>
      </c>
      <c r="B387" s="6" t="s">
        <v>500</v>
      </c>
      <c r="C387" s="26" t="str">
        <f>"627843230076"</f>
        <v>627843230076</v>
      </c>
      <c r="D387" s="5" t="s">
        <v>294</v>
      </c>
      <c r="E387" s="9" t="s">
        <v>501</v>
      </c>
      <c r="F387" s="8">
        <v>42839</v>
      </c>
    </row>
    <row r="388" spans="1:6" x14ac:dyDescent="0.3">
      <c r="A388" s="5" t="str">
        <f>"0369520"</f>
        <v>0369520</v>
      </c>
      <c r="B388" s="6" t="s">
        <v>509</v>
      </c>
      <c r="C388" s="26" t="str">
        <f>"776029703061"</f>
        <v>776029703061</v>
      </c>
      <c r="D388" s="5" t="s">
        <v>25</v>
      </c>
      <c r="E388" s="6" t="s">
        <v>510</v>
      </c>
      <c r="F388" s="8">
        <v>42839</v>
      </c>
    </row>
    <row r="389" spans="1:6" x14ac:dyDescent="0.3">
      <c r="A389" s="5" t="str">
        <f>"0465450"</f>
        <v>0465450</v>
      </c>
      <c r="B389" s="6" t="s">
        <v>526</v>
      </c>
      <c r="C389" s="26" t="str">
        <f>"628669050183"</f>
        <v>628669050183</v>
      </c>
      <c r="D389" s="5" t="s">
        <v>202</v>
      </c>
      <c r="E389" s="6" t="s">
        <v>86</v>
      </c>
      <c r="F389" s="8">
        <v>42838</v>
      </c>
    </row>
    <row r="390" spans="1:6" x14ac:dyDescent="0.3">
      <c r="A390" s="5" t="str">
        <f>"0459966"</f>
        <v>0459966</v>
      </c>
      <c r="B390" s="6" t="s">
        <v>524</v>
      </c>
      <c r="C390" s="26" t="str">
        <f>"779376109388"</f>
        <v>779376109388</v>
      </c>
      <c r="D390" s="5" t="s">
        <v>202</v>
      </c>
      <c r="E390" s="6" t="s">
        <v>525</v>
      </c>
      <c r="F390" s="8">
        <v>42838</v>
      </c>
    </row>
    <row r="391" spans="1:6" x14ac:dyDescent="0.3">
      <c r="A391" s="5" t="str">
        <f>"0465229"</f>
        <v>0465229</v>
      </c>
      <c r="B391" s="6" t="s">
        <v>523</v>
      </c>
      <c r="C391" s="26" t="str">
        <f>"797698420837"</f>
        <v>797698420837</v>
      </c>
      <c r="D391" s="5" t="s">
        <v>25</v>
      </c>
      <c r="E391" s="6" t="s">
        <v>5</v>
      </c>
      <c r="F391" s="8">
        <v>42837</v>
      </c>
    </row>
    <row r="392" spans="1:6" x14ac:dyDescent="0.3">
      <c r="A392" s="5" t="str">
        <f>"0149864"</f>
        <v>0149864</v>
      </c>
      <c r="B392" s="6" t="s">
        <v>522</v>
      </c>
      <c r="C392" s="26" t="str">
        <f>"056327005686"</f>
        <v>056327005686</v>
      </c>
      <c r="D392" s="5" t="s">
        <v>25</v>
      </c>
      <c r="E392" s="6" t="s">
        <v>5</v>
      </c>
      <c r="F392" s="8">
        <v>42837</v>
      </c>
    </row>
    <row r="393" spans="1:6" x14ac:dyDescent="0.3">
      <c r="A393" s="5" t="str">
        <f>"0469197"</f>
        <v>0469197</v>
      </c>
      <c r="B393" s="6" t="s">
        <v>521</v>
      </c>
      <c r="C393" s="26" t="str">
        <f>"053722633346"</f>
        <v>053722633346</v>
      </c>
      <c r="D393" s="5" t="s">
        <v>25</v>
      </c>
      <c r="E393" s="6" t="s">
        <v>5</v>
      </c>
      <c r="F393" s="8">
        <v>42837</v>
      </c>
    </row>
    <row r="394" spans="1:6" x14ac:dyDescent="0.3">
      <c r="A394" s="5" t="str">
        <f>"0127647"</f>
        <v>0127647</v>
      </c>
      <c r="B394" s="6" t="s">
        <v>520</v>
      </c>
      <c r="C394" s="26" t="str">
        <f>"875580001705"</f>
        <v>875580001705</v>
      </c>
      <c r="D394" s="5" t="s">
        <v>202</v>
      </c>
      <c r="E394" s="6" t="s">
        <v>5</v>
      </c>
      <c r="F394" s="8">
        <v>42837</v>
      </c>
    </row>
    <row r="395" spans="1:6" x14ac:dyDescent="0.3">
      <c r="A395" s="5" t="str">
        <f>"0450387"</f>
        <v>0450387</v>
      </c>
      <c r="B395" s="6" t="s">
        <v>518</v>
      </c>
      <c r="C395" s="26" t="str">
        <f>"186360010009"</f>
        <v>186360010009</v>
      </c>
      <c r="D395" s="5" t="s">
        <v>25</v>
      </c>
      <c r="E395" s="6" t="s">
        <v>86</v>
      </c>
      <c r="F395" s="8">
        <v>42833</v>
      </c>
    </row>
    <row r="396" spans="1:6" x14ac:dyDescent="0.3">
      <c r="A396" s="5" t="str">
        <f>"0450395"</f>
        <v>0450395</v>
      </c>
      <c r="B396" s="6" t="s">
        <v>519</v>
      </c>
      <c r="C396" s="26" t="str">
        <f>"186360010016"</f>
        <v>186360010016</v>
      </c>
      <c r="D396" s="5" t="s">
        <v>25</v>
      </c>
      <c r="E396" s="6" t="s">
        <v>86</v>
      </c>
      <c r="F396" s="8">
        <v>42833</v>
      </c>
    </row>
    <row r="397" spans="1:6" x14ac:dyDescent="0.3">
      <c r="A397" s="5">
        <v>110197</v>
      </c>
      <c r="B397" s="6" t="s">
        <v>516</v>
      </c>
      <c r="C397" s="26" t="str">
        <f>"3179070214000"</f>
        <v>3179070214000</v>
      </c>
      <c r="D397" s="5" t="s">
        <v>202</v>
      </c>
      <c r="E397" s="6" t="s">
        <v>517</v>
      </c>
      <c r="F397" s="8">
        <v>42831</v>
      </c>
    </row>
    <row r="398" spans="1:6" x14ac:dyDescent="0.3">
      <c r="A398" s="5">
        <v>219659</v>
      </c>
      <c r="B398" s="6" t="s">
        <v>515</v>
      </c>
      <c r="C398" s="26" t="str">
        <f>"627005074012"</f>
        <v>627005074012</v>
      </c>
      <c r="D398" s="5" t="s">
        <v>25</v>
      </c>
      <c r="E398" s="6" t="s">
        <v>5</v>
      </c>
      <c r="F398" s="8">
        <v>42830</v>
      </c>
    </row>
    <row r="399" spans="1:6" x14ac:dyDescent="0.3">
      <c r="A399" s="5">
        <v>442467</v>
      </c>
      <c r="B399" s="6" t="s">
        <v>514</v>
      </c>
      <c r="C399" s="26" t="str">
        <f>"874414000068"</f>
        <v>874414000068</v>
      </c>
      <c r="D399" s="5" t="s">
        <v>25</v>
      </c>
      <c r="E399" s="6" t="s">
        <v>86</v>
      </c>
      <c r="F399" s="8">
        <v>42830</v>
      </c>
    </row>
    <row r="400" spans="1:6" x14ac:dyDescent="0.3">
      <c r="A400" s="5">
        <v>448191</v>
      </c>
      <c r="B400" s="6" t="s">
        <v>454</v>
      </c>
      <c r="C400" s="26" t="str">
        <f>"0702915001041"</f>
        <v>0702915001041</v>
      </c>
      <c r="D400" s="5" t="s">
        <v>455</v>
      </c>
      <c r="E400" s="6" t="s">
        <v>5</v>
      </c>
      <c r="F400" s="8">
        <v>42830</v>
      </c>
    </row>
    <row r="401" spans="1:6" x14ac:dyDescent="0.3">
      <c r="A401" s="5" t="str">
        <f>"0496968"</f>
        <v>0496968</v>
      </c>
      <c r="B401" s="6" t="s">
        <v>511</v>
      </c>
      <c r="C401" s="26" t="str">
        <f>"062067547539"</f>
        <v>062067547539</v>
      </c>
      <c r="D401" s="5" t="s">
        <v>98</v>
      </c>
      <c r="E401" s="6" t="s">
        <v>513</v>
      </c>
      <c r="F401" s="8">
        <v>42830</v>
      </c>
    </row>
    <row r="402" spans="1:6" x14ac:dyDescent="0.3">
      <c r="A402" s="5" t="str">
        <f>"0496950"</f>
        <v>0496950</v>
      </c>
      <c r="B402" s="6" t="s">
        <v>512</v>
      </c>
      <c r="C402" s="26" t="str">
        <f>"062067397387"</f>
        <v>062067397387</v>
      </c>
      <c r="D402" s="5" t="s">
        <v>98</v>
      </c>
      <c r="E402" s="6" t="s">
        <v>513</v>
      </c>
      <c r="F402" s="8">
        <v>42830</v>
      </c>
    </row>
    <row r="403" spans="1:6" x14ac:dyDescent="0.3">
      <c r="A403" s="5" t="str">
        <f>"0186783"</f>
        <v>0186783</v>
      </c>
      <c r="B403" s="6" t="s">
        <v>507</v>
      </c>
      <c r="C403" s="26" t="str">
        <f>"855315000227"</f>
        <v>855315000227</v>
      </c>
      <c r="D403" s="5" t="s">
        <v>25</v>
      </c>
      <c r="E403" s="6" t="s">
        <v>5</v>
      </c>
      <c r="F403" s="8">
        <v>42826</v>
      </c>
    </row>
    <row r="404" spans="1:6" x14ac:dyDescent="0.3">
      <c r="A404" s="5" t="str">
        <f>"0380287"</f>
        <v>0380287</v>
      </c>
      <c r="B404" s="6" t="s">
        <v>508</v>
      </c>
      <c r="C404" s="26" t="str">
        <f>"062067168352"</f>
        <v>062067168352</v>
      </c>
      <c r="D404" s="5" t="s">
        <v>25</v>
      </c>
      <c r="E404" s="6" t="s">
        <v>5</v>
      </c>
      <c r="F404" s="8">
        <v>42826</v>
      </c>
    </row>
    <row r="405" spans="1:6" x14ac:dyDescent="0.3">
      <c r="A405" s="5" t="str">
        <f>"0493437"</f>
        <v>0493437</v>
      </c>
      <c r="B405" s="6" t="s">
        <v>506</v>
      </c>
      <c r="C405" s="26" t="str">
        <f>"186360000635"</f>
        <v>186360000635</v>
      </c>
      <c r="D405" s="5" t="s">
        <v>25</v>
      </c>
      <c r="E405" s="6" t="s">
        <v>5</v>
      </c>
      <c r="F405" s="8">
        <v>42826</v>
      </c>
    </row>
    <row r="406" spans="1:6" x14ac:dyDescent="0.3">
      <c r="A406" s="5" t="str">
        <f>"0458596"</f>
        <v>0458596</v>
      </c>
      <c r="B406" s="6" t="s">
        <v>279</v>
      </c>
      <c r="C406" s="26">
        <v>186360000611</v>
      </c>
      <c r="D406" s="5" t="s">
        <v>37</v>
      </c>
      <c r="E406" s="6" t="s">
        <v>5</v>
      </c>
      <c r="F406" s="8">
        <v>42824</v>
      </c>
    </row>
    <row r="407" spans="1:6" x14ac:dyDescent="0.3">
      <c r="A407" s="5" t="str">
        <f>"0477380"</f>
        <v>0477380</v>
      </c>
      <c r="B407" s="6" t="s">
        <v>505</v>
      </c>
      <c r="C407" s="26">
        <v>186360050067</v>
      </c>
      <c r="D407" s="5" t="s">
        <v>25</v>
      </c>
      <c r="E407" s="6" t="s">
        <v>5</v>
      </c>
      <c r="F407" s="8">
        <v>42824</v>
      </c>
    </row>
    <row r="408" spans="1:6" x14ac:dyDescent="0.3">
      <c r="A408" s="5" t="str">
        <f>"0391458"</f>
        <v>0391458</v>
      </c>
      <c r="B408" s="6" t="s">
        <v>504</v>
      </c>
      <c r="C408" s="26" t="str">
        <f>"604174000271"</f>
        <v>604174000271</v>
      </c>
      <c r="D408" s="5" t="s">
        <v>202</v>
      </c>
      <c r="E408" s="6" t="s">
        <v>5</v>
      </c>
      <c r="F408" s="8">
        <v>42824</v>
      </c>
    </row>
    <row r="409" spans="1:6" x14ac:dyDescent="0.3">
      <c r="A409" s="5" t="str">
        <f>"0466698"</f>
        <v>0466698</v>
      </c>
      <c r="B409" s="6" t="s">
        <v>499</v>
      </c>
      <c r="C409" s="26" t="str">
        <f>"186360050012"</f>
        <v>186360050012</v>
      </c>
      <c r="D409" s="5" t="s">
        <v>25</v>
      </c>
      <c r="E409" s="6" t="s">
        <v>5</v>
      </c>
      <c r="F409" s="8">
        <v>42823</v>
      </c>
    </row>
    <row r="410" spans="1:6" x14ac:dyDescent="0.3">
      <c r="A410" s="5" t="str">
        <f>"0374157"</f>
        <v>0374157</v>
      </c>
      <c r="B410" s="6" t="s">
        <v>193</v>
      </c>
      <c r="C410" s="26" t="str">
        <f>"874414000037"</f>
        <v>874414000037</v>
      </c>
      <c r="D410" s="5" t="s">
        <v>37</v>
      </c>
      <c r="E410" s="6" t="s">
        <v>5</v>
      </c>
      <c r="F410" s="8">
        <v>42822</v>
      </c>
    </row>
    <row r="411" spans="1:6" s="35" customFormat="1" ht="27.95" x14ac:dyDescent="0.3">
      <c r="A411" s="50" t="s">
        <v>478</v>
      </c>
      <c r="B411" s="42" t="s">
        <v>477</v>
      </c>
      <c r="C411" s="34" t="s">
        <v>479</v>
      </c>
      <c r="D411" s="43" t="s">
        <v>25</v>
      </c>
      <c r="E411" s="9" t="s">
        <v>480</v>
      </c>
      <c r="F411" s="8">
        <v>42818</v>
      </c>
    </row>
    <row r="412" spans="1:6" x14ac:dyDescent="0.3">
      <c r="A412" s="5" t="str">
        <f>"0449330"</f>
        <v>0449330</v>
      </c>
      <c r="B412" s="6" t="s">
        <v>74</v>
      </c>
      <c r="C412" s="26" t="str">
        <f>"013964841602"</f>
        <v>013964841602</v>
      </c>
      <c r="D412" s="5" t="s">
        <v>76</v>
      </c>
      <c r="E412" s="6" t="s">
        <v>5</v>
      </c>
      <c r="F412" s="8">
        <v>42817</v>
      </c>
    </row>
    <row r="413" spans="1:6" x14ac:dyDescent="0.3">
      <c r="A413" s="5" t="str">
        <f>"0053827"</f>
        <v>0053827</v>
      </c>
      <c r="B413" s="6" t="s">
        <v>494</v>
      </c>
      <c r="C413" s="26" t="str">
        <f>"874537078142"</f>
        <v>874537078142</v>
      </c>
      <c r="D413" s="5" t="s">
        <v>202</v>
      </c>
      <c r="E413" s="6" t="s">
        <v>5</v>
      </c>
      <c r="F413" s="8">
        <v>42817</v>
      </c>
    </row>
    <row r="414" spans="1:6" x14ac:dyDescent="0.3">
      <c r="A414" s="5" t="str">
        <f>"0146845"</f>
        <v>0146845</v>
      </c>
      <c r="B414" s="6" t="s">
        <v>495</v>
      </c>
      <c r="C414" s="26" t="str">
        <f>"874537086147"</f>
        <v>874537086147</v>
      </c>
      <c r="D414" s="5" t="s">
        <v>496</v>
      </c>
      <c r="E414" s="6" t="s">
        <v>5</v>
      </c>
      <c r="F414" s="8">
        <v>42817</v>
      </c>
    </row>
    <row r="415" spans="1:6" x14ac:dyDescent="0.3">
      <c r="A415" s="5" t="str">
        <f>"0231795"</f>
        <v>0231795</v>
      </c>
      <c r="B415" s="6" t="s">
        <v>493</v>
      </c>
      <c r="C415" s="26" t="str">
        <f>"8410113004857"</f>
        <v>8410113004857</v>
      </c>
      <c r="D415" s="5" t="s">
        <v>202</v>
      </c>
      <c r="E415" s="6" t="s">
        <v>377</v>
      </c>
      <c r="F415" s="8">
        <v>42816</v>
      </c>
    </row>
    <row r="416" spans="1:6" x14ac:dyDescent="0.3">
      <c r="A416" s="5" t="str">
        <f>"0473637"</f>
        <v>0473637</v>
      </c>
      <c r="B416" s="6" t="s">
        <v>490</v>
      </c>
      <c r="C416" s="26" t="str">
        <f>"628055411017"</f>
        <v>628055411017</v>
      </c>
      <c r="D416" s="5" t="s">
        <v>25</v>
      </c>
      <c r="E416" s="6" t="s">
        <v>491</v>
      </c>
      <c r="F416" s="8">
        <v>42816</v>
      </c>
    </row>
    <row r="417" spans="1:16" x14ac:dyDescent="0.3">
      <c r="A417" s="5" t="str">
        <f>"0329144"</f>
        <v>0329144</v>
      </c>
      <c r="B417" s="6" t="s">
        <v>492</v>
      </c>
      <c r="C417" s="26" t="str">
        <f>"091037462121"</f>
        <v>091037462121</v>
      </c>
      <c r="D417" s="5" t="s">
        <v>76</v>
      </c>
      <c r="E417" s="6" t="s">
        <v>5</v>
      </c>
      <c r="F417" s="8">
        <v>42816</v>
      </c>
    </row>
    <row r="418" spans="1:16" x14ac:dyDescent="0.3">
      <c r="A418" s="5" t="str">
        <f>"0299966"</f>
        <v>0299966</v>
      </c>
      <c r="B418" s="6" t="s">
        <v>488</v>
      </c>
      <c r="C418" s="26" t="str">
        <f>"056327007512"</f>
        <v>056327007512</v>
      </c>
      <c r="D418" s="5" t="s">
        <v>124</v>
      </c>
      <c r="E418" s="6" t="s">
        <v>5</v>
      </c>
      <c r="F418" s="8">
        <v>42815</v>
      </c>
    </row>
    <row r="419" spans="1:16" x14ac:dyDescent="0.3">
      <c r="A419" s="5" t="str">
        <f>"0299974"</f>
        <v>0299974</v>
      </c>
      <c r="B419" s="6" t="s">
        <v>489</v>
      </c>
      <c r="C419" s="26" t="str">
        <f>"056327007505"</f>
        <v>056327007505</v>
      </c>
      <c r="D419" s="5" t="s">
        <v>124</v>
      </c>
      <c r="E419" s="6" t="s">
        <v>5</v>
      </c>
      <c r="F419" s="8">
        <v>42815</v>
      </c>
    </row>
    <row r="420" spans="1:16" ht="27.95" x14ac:dyDescent="0.3">
      <c r="A420" s="5" t="str">
        <f>"0091157"</f>
        <v>0091157</v>
      </c>
      <c r="B420" s="6" t="s">
        <v>453</v>
      </c>
      <c r="C420" s="26" t="str">
        <f>"702915001010"</f>
        <v>702915001010</v>
      </c>
      <c r="D420" s="5" t="s">
        <v>48</v>
      </c>
      <c r="E420" s="9" t="s">
        <v>456</v>
      </c>
      <c r="F420" s="8">
        <v>42815</v>
      </c>
    </row>
    <row r="421" spans="1:16" ht="41.95" x14ac:dyDescent="0.3">
      <c r="A421" s="5" t="str">
        <f>"0448191"</f>
        <v>0448191</v>
      </c>
      <c r="B421" s="6" t="s">
        <v>454</v>
      </c>
      <c r="C421" s="26" t="str">
        <f>"0702915001041"</f>
        <v>0702915001041</v>
      </c>
      <c r="D421" s="5" t="s">
        <v>455</v>
      </c>
      <c r="E421" s="9" t="s">
        <v>457</v>
      </c>
      <c r="F421" s="8">
        <v>42815</v>
      </c>
    </row>
    <row r="422" spans="1:16" x14ac:dyDescent="0.3">
      <c r="A422" s="52" t="str">
        <f>"0191296"</f>
        <v>0191296</v>
      </c>
      <c r="B422" s="6" t="s">
        <v>169</v>
      </c>
      <c r="C422" s="61" t="str">
        <f>"056910605040"</f>
        <v>056910605040</v>
      </c>
      <c r="D422" s="5" t="s">
        <v>127</v>
      </c>
      <c r="E422" s="6" t="s">
        <v>5</v>
      </c>
      <c r="F422" s="8">
        <v>42812</v>
      </c>
    </row>
    <row r="423" spans="1:16" x14ac:dyDescent="0.3">
      <c r="A423" s="52">
        <v>486522</v>
      </c>
      <c r="B423" s="6" t="s">
        <v>484</v>
      </c>
      <c r="C423" s="61">
        <v>13964841718</v>
      </c>
      <c r="D423" s="5" t="s">
        <v>76</v>
      </c>
      <c r="E423" s="6" t="s">
        <v>5</v>
      </c>
      <c r="F423" s="8">
        <v>42811</v>
      </c>
    </row>
    <row r="424" spans="1:16" x14ac:dyDescent="0.3">
      <c r="A424" s="52">
        <v>486530</v>
      </c>
      <c r="B424" s="6" t="s">
        <v>485</v>
      </c>
      <c r="C424" s="61">
        <v>13964841640</v>
      </c>
      <c r="D424" s="5" t="s">
        <v>76</v>
      </c>
      <c r="E424" s="6" t="s">
        <v>5</v>
      </c>
      <c r="F424" s="8">
        <v>42811</v>
      </c>
    </row>
    <row r="425" spans="1:16" x14ac:dyDescent="0.3">
      <c r="A425" s="52">
        <v>486589</v>
      </c>
      <c r="B425" s="6" t="s">
        <v>486</v>
      </c>
      <c r="C425" s="61">
        <v>13964841701</v>
      </c>
      <c r="D425" s="5" t="s">
        <v>76</v>
      </c>
      <c r="E425" s="6" t="s">
        <v>5</v>
      </c>
      <c r="F425" s="8">
        <v>42811</v>
      </c>
    </row>
    <row r="426" spans="1:16" x14ac:dyDescent="0.3">
      <c r="A426" s="52">
        <v>490615</v>
      </c>
      <c r="B426" s="6" t="s">
        <v>487</v>
      </c>
      <c r="C426" s="61">
        <v>91037995292</v>
      </c>
      <c r="D426" s="5" t="s">
        <v>76</v>
      </c>
      <c r="E426" s="6" t="s">
        <v>5</v>
      </c>
      <c r="F426" s="8">
        <v>42811</v>
      </c>
    </row>
    <row r="427" spans="1:16" x14ac:dyDescent="0.3">
      <c r="A427" s="5" t="str">
        <f>"0467118"</f>
        <v>0467118</v>
      </c>
      <c r="B427" s="6" t="s">
        <v>483</v>
      </c>
      <c r="C427" s="26" t="str">
        <f>"626824220174"</f>
        <v>626824220174</v>
      </c>
      <c r="D427" s="5" t="s">
        <v>294</v>
      </c>
      <c r="E427" s="6" t="s">
        <v>86</v>
      </c>
      <c r="F427" s="8">
        <v>42810</v>
      </c>
    </row>
    <row r="428" spans="1:16" ht="27.95" x14ac:dyDescent="0.3">
      <c r="A428" s="19">
        <v>438952</v>
      </c>
      <c r="B428" s="10" t="s">
        <v>481</v>
      </c>
      <c r="C428" s="26">
        <v>8000834306004</v>
      </c>
      <c r="D428" s="19" t="s">
        <v>202</v>
      </c>
      <c r="E428" s="9" t="s">
        <v>482</v>
      </c>
      <c r="F428" s="60">
        <v>42809</v>
      </c>
    </row>
    <row r="429" spans="1:16" ht="27.95" x14ac:dyDescent="0.3">
      <c r="A429" s="5" t="str">
        <f>"0039651"</f>
        <v>0039651</v>
      </c>
      <c r="B429" s="6" t="s">
        <v>450</v>
      </c>
      <c r="C429" s="26" t="str">
        <f>"056910234738"</f>
        <v>056910234738</v>
      </c>
      <c r="D429" s="5" t="s">
        <v>25</v>
      </c>
      <c r="E429" s="9" t="s">
        <v>451</v>
      </c>
      <c r="F429" s="8">
        <v>42807</v>
      </c>
      <c r="P429" t="str">
        <f>"20056910234756"</f>
        <v>20056910234756</v>
      </c>
    </row>
    <row r="430" spans="1:16" ht="27.95" x14ac:dyDescent="0.3">
      <c r="A430" s="56" t="s">
        <v>474</v>
      </c>
      <c r="B430" s="6" t="s">
        <v>475</v>
      </c>
      <c r="C430" s="57" t="s">
        <v>476</v>
      </c>
      <c r="D430" s="5" t="s">
        <v>43</v>
      </c>
      <c r="E430" s="9" t="s">
        <v>473</v>
      </c>
      <c r="F430" s="8">
        <v>42805</v>
      </c>
    </row>
    <row r="431" spans="1:16" x14ac:dyDescent="0.3">
      <c r="A431" s="5" t="str">
        <f>"0479188"</f>
        <v>0479188</v>
      </c>
      <c r="B431" s="6" t="s">
        <v>472</v>
      </c>
      <c r="C431" s="26" t="str">
        <f>"741498314605"</f>
        <v>741498314605</v>
      </c>
      <c r="D431" s="5" t="s">
        <v>294</v>
      </c>
      <c r="E431" s="6" t="s">
        <v>86</v>
      </c>
      <c r="F431" s="8">
        <v>42804</v>
      </c>
    </row>
    <row r="432" spans="1:16" x14ac:dyDescent="0.3">
      <c r="A432" s="5" t="str">
        <f>"0481804"</f>
        <v>0481804</v>
      </c>
      <c r="B432" s="6" t="s">
        <v>471</v>
      </c>
      <c r="C432" s="26" t="str">
        <f>"839587000079"</f>
        <v>839587000079</v>
      </c>
      <c r="D432" s="5" t="s">
        <v>455</v>
      </c>
      <c r="E432" s="6" t="s">
        <v>5</v>
      </c>
      <c r="F432" s="8">
        <v>42804</v>
      </c>
    </row>
    <row r="433" spans="1:6" ht="25.8" x14ac:dyDescent="0.3">
      <c r="A433" s="5">
        <v>493387</v>
      </c>
      <c r="B433" s="58" t="s">
        <v>470</v>
      </c>
      <c r="C433" s="26">
        <v>639667995826</v>
      </c>
      <c r="D433" s="5" t="s">
        <v>202</v>
      </c>
      <c r="E433" s="6" t="s">
        <v>5</v>
      </c>
      <c r="F433" s="8">
        <v>42803</v>
      </c>
    </row>
    <row r="434" spans="1:6" x14ac:dyDescent="0.3">
      <c r="A434" s="5" t="str">
        <f>"0374504"</f>
        <v>0374504</v>
      </c>
      <c r="B434" s="6" t="s">
        <v>465</v>
      </c>
      <c r="C434" s="26" t="str">
        <f>"056327009257"</f>
        <v>056327009257</v>
      </c>
      <c r="D434" s="5" t="s">
        <v>25</v>
      </c>
      <c r="E434" s="6" t="s">
        <v>5</v>
      </c>
      <c r="F434" s="8">
        <v>42802</v>
      </c>
    </row>
    <row r="435" spans="1:6" x14ac:dyDescent="0.3">
      <c r="A435" s="5" t="str">
        <f>"0312843"</f>
        <v>0312843</v>
      </c>
      <c r="B435" s="6" t="s">
        <v>466</v>
      </c>
      <c r="C435" s="26" t="str">
        <f>"814049009036"</f>
        <v>814049009036</v>
      </c>
      <c r="D435" s="5" t="s">
        <v>25</v>
      </c>
      <c r="E435" s="6" t="s">
        <v>5</v>
      </c>
      <c r="F435" s="8">
        <v>42802</v>
      </c>
    </row>
    <row r="436" spans="1:6" x14ac:dyDescent="0.3">
      <c r="A436" s="5" t="str">
        <f>"0474262"</f>
        <v>0474262</v>
      </c>
      <c r="B436" s="6" t="s">
        <v>467</v>
      </c>
      <c r="C436" s="26" t="str">
        <f>"091037826701"</f>
        <v>091037826701</v>
      </c>
      <c r="D436" s="5" t="s">
        <v>76</v>
      </c>
      <c r="E436" s="6" t="s">
        <v>468</v>
      </c>
      <c r="F436" s="8">
        <v>42802</v>
      </c>
    </row>
    <row r="437" spans="1:6" x14ac:dyDescent="0.3">
      <c r="A437" s="5" t="str">
        <f>"0350199"</f>
        <v>0350199</v>
      </c>
      <c r="B437" s="6" t="s">
        <v>469</v>
      </c>
      <c r="C437" s="26" t="str">
        <f>"679546000715"</f>
        <v>679546000715</v>
      </c>
      <c r="D437" s="5" t="s">
        <v>294</v>
      </c>
      <c r="E437" s="6" t="s">
        <v>468</v>
      </c>
      <c r="F437" s="8">
        <v>42802</v>
      </c>
    </row>
    <row r="438" spans="1:6" x14ac:dyDescent="0.3">
      <c r="A438" s="5" t="str">
        <f>"0270157"</f>
        <v>0270157</v>
      </c>
      <c r="B438" s="6" t="s">
        <v>463</v>
      </c>
      <c r="C438" s="26" t="str">
        <f>"777081715672"</f>
        <v>777081715672</v>
      </c>
      <c r="D438" s="5" t="s">
        <v>202</v>
      </c>
      <c r="E438" s="6" t="s">
        <v>5</v>
      </c>
      <c r="F438" s="8">
        <v>42802</v>
      </c>
    </row>
    <row r="439" spans="1:6" x14ac:dyDescent="0.3">
      <c r="A439" s="5" t="str">
        <f>"0270173"</f>
        <v>0270173</v>
      </c>
      <c r="B439" s="6" t="s">
        <v>464</v>
      </c>
      <c r="C439" s="26" t="str">
        <f>"777081725688"</f>
        <v>777081725688</v>
      </c>
      <c r="D439" s="5" t="s">
        <v>202</v>
      </c>
      <c r="E439" s="6" t="s">
        <v>5</v>
      </c>
      <c r="F439" s="8">
        <v>42802</v>
      </c>
    </row>
    <row r="440" spans="1:6" ht="27.95" x14ac:dyDescent="0.3">
      <c r="A440" s="5" t="str">
        <f>"0362772"</f>
        <v>0362772</v>
      </c>
      <c r="B440" s="6" t="s">
        <v>293</v>
      </c>
      <c r="C440" s="26" t="str">
        <f>"628055930242"</f>
        <v>628055930242</v>
      </c>
      <c r="D440" s="5" t="s">
        <v>294</v>
      </c>
      <c r="E440" s="9" t="s">
        <v>462</v>
      </c>
      <c r="F440" s="8">
        <v>42801</v>
      </c>
    </row>
    <row r="441" spans="1:6" x14ac:dyDescent="0.3">
      <c r="A441" s="5" t="str">
        <f>"0336305"</f>
        <v>0336305</v>
      </c>
      <c r="B441" s="6" t="s">
        <v>460</v>
      </c>
      <c r="C441" s="26" t="str">
        <f>"056327008243"</f>
        <v>056327008243</v>
      </c>
      <c r="D441" s="5" t="s">
        <v>106</v>
      </c>
      <c r="E441" s="6" t="s">
        <v>5</v>
      </c>
      <c r="F441" s="8">
        <v>42801</v>
      </c>
    </row>
    <row r="442" spans="1:6" x14ac:dyDescent="0.3">
      <c r="A442" s="5" t="str">
        <f>"0279448"</f>
        <v>0279448</v>
      </c>
      <c r="B442" s="6" t="s">
        <v>461</v>
      </c>
      <c r="C442" s="26" t="str">
        <f>"018200199882"</f>
        <v>018200199882</v>
      </c>
      <c r="D442" s="5" t="s">
        <v>37</v>
      </c>
      <c r="E442" s="6" t="s">
        <v>5</v>
      </c>
      <c r="F442" s="8">
        <v>42801</v>
      </c>
    </row>
    <row r="443" spans="1:6" x14ac:dyDescent="0.3">
      <c r="A443" s="5" t="str">
        <f>"0365601"</f>
        <v>0365601</v>
      </c>
      <c r="B443" s="6" t="s">
        <v>458</v>
      </c>
      <c r="C443" s="26" t="str">
        <f>"087692000945"</f>
        <v>087692000945</v>
      </c>
      <c r="D443" s="5" t="s">
        <v>25</v>
      </c>
      <c r="E443" s="6" t="s">
        <v>459</v>
      </c>
      <c r="F443" s="8">
        <v>42798</v>
      </c>
    </row>
    <row r="444" spans="1:6" x14ac:dyDescent="0.3">
      <c r="A444" s="5" t="str">
        <f>"0419747"</f>
        <v>0419747</v>
      </c>
      <c r="B444" s="6" t="s">
        <v>452</v>
      </c>
      <c r="C444" s="26" t="str">
        <f>"091037995186"</f>
        <v>091037995186</v>
      </c>
      <c r="D444" s="5" t="s">
        <v>76</v>
      </c>
      <c r="E444" s="6" t="s">
        <v>86</v>
      </c>
      <c r="F444" s="8">
        <v>42796</v>
      </c>
    </row>
    <row r="445" spans="1:6" ht="27.95" x14ac:dyDescent="0.3">
      <c r="A445" s="5" t="str">
        <f>"0111989"</f>
        <v>0111989</v>
      </c>
      <c r="B445" s="6" t="s">
        <v>403</v>
      </c>
      <c r="C445" s="26" t="str">
        <f>"670459006207"</f>
        <v>670459006207</v>
      </c>
      <c r="D445" s="5" t="s">
        <v>202</v>
      </c>
      <c r="E445" s="9" t="s">
        <v>404</v>
      </c>
      <c r="F445" s="8">
        <v>42787</v>
      </c>
    </row>
    <row r="446" spans="1:6" ht="27.95" x14ac:dyDescent="0.3">
      <c r="A446" s="5" t="str">
        <f>"0276501"</f>
        <v>0276501</v>
      </c>
      <c r="B446" s="6" t="s">
        <v>405</v>
      </c>
      <c r="C446" s="26" t="str">
        <f>"727530552648"</f>
        <v>727530552648</v>
      </c>
      <c r="D446" s="5" t="s">
        <v>202</v>
      </c>
      <c r="E446" s="9" t="s">
        <v>406</v>
      </c>
      <c r="F446" s="8">
        <v>42787</v>
      </c>
    </row>
    <row r="447" spans="1:6" ht="27.95" x14ac:dyDescent="0.3">
      <c r="A447" s="5" t="s">
        <v>407</v>
      </c>
      <c r="B447" s="6" t="s">
        <v>408</v>
      </c>
      <c r="C447" s="26" t="s">
        <v>409</v>
      </c>
      <c r="D447" s="5" t="s">
        <v>25</v>
      </c>
      <c r="E447" s="9" t="s">
        <v>441</v>
      </c>
      <c r="F447" s="8">
        <v>42784</v>
      </c>
    </row>
    <row r="448" spans="1:6" ht="27.95" x14ac:dyDescent="0.3">
      <c r="A448" s="5" t="s">
        <v>410</v>
      </c>
      <c r="B448" s="6" t="s">
        <v>411</v>
      </c>
      <c r="C448" s="26" t="s">
        <v>412</v>
      </c>
      <c r="D448" s="5" t="s">
        <v>25</v>
      </c>
      <c r="E448" s="9" t="s">
        <v>441</v>
      </c>
      <c r="F448" s="8">
        <v>42784</v>
      </c>
    </row>
    <row r="449" spans="1:6" ht="27.95" x14ac:dyDescent="0.3">
      <c r="A449" s="5" t="s">
        <v>413</v>
      </c>
      <c r="B449" s="6" t="s">
        <v>414</v>
      </c>
      <c r="C449" s="26" t="s">
        <v>415</v>
      </c>
      <c r="D449" s="5" t="s">
        <v>25</v>
      </c>
      <c r="E449" s="9" t="s">
        <v>441</v>
      </c>
      <c r="F449" s="8">
        <v>42784</v>
      </c>
    </row>
    <row r="450" spans="1:6" ht="27.95" x14ac:dyDescent="0.3">
      <c r="A450" s="5" t="s">
        <v>416</v>
      </c>
      <c r="B450" s="6" t="s">
        <v>417</v>
      </c>
      <c r="C450" s="26" t="s">
        <v>418</v>
      </c>
      <c r="D450" s="5" t="s">
        <v>106</v>
      </c>
      <c r="E450" s="9" t="s">
        <v>441</v>
      </c>
      <c r="F450" s="8">
        <v>42784</v>
      </c>
    </row>
    <row r="451" spans="1:6" ht="27.95" x14ac:dyDescent="0.3">
      <c r="A451" s="5" t="s">
        <v>419</v>
      </c>
      <c r="B451" s="6" t="s">
        <v>408</v>
      </c>
      <c r="C451" s="26" t="s">
        <v>420</v>
      </c>
      <c r="D451" s="5" t="s">
        <v>106</v>
      </c>
      <c r="E451" s="9" t="s">
        <v>441</v>
      </c>
      <c r="F451" s="8">
        <v>42784</v>
      </c>
    </row>
    <row r="452" spans="1:6" ht="27.95" x14ac:dyDescent="0.3">
      <c r="A452" s="5" t="s">
        <v>421</v>
      </c>
      <c r="B452" s="6" t="s">
        <v>422</v>
      </c>
      <c r="C452" s="26" t="s">
        <v>423</v>
      </c>
      <c r="D452" s="5" t="s">
        <v>106</v>
      </c>
      <c r="E452" s="9" t="s">
        <v>441</v>
      </c>
      <c r="F452" s="8">
        <v>42784</v>
      </c>
    </row>
    <row r="453" spans="1:6" ht="27.95" x14ac:dyDescent="0.3">
      <c r="A453" s="5" t="s">
        <v>424</v>
      </c>
      <c r="B453" s="6" t="s">
        <v>422</v>
      </c>
      <c r="C453" s="26" t="s">
        <v>425</v>
      </c>
      <c r="D453" s="5" t="s">
        <v>25</v>
      </c>
      <c r="E453" s="9" t="s">
        <v>441</v>
      </c>
      <c r="F453" s="8">
        <v>42784</v>
      </c>
    </row>
    <row r="454" spans="1:6" ht="27.95" x14ac:dyDescent="0.3">
      <c r="A454" s="5" t="s">
        <v>426</v>
      </c>
      <c r="B454" s="6" t="s">
        <v>427</v>
      </c>
      <c r="C454" s="26" t="s">
        <v>428</v>
      </c>
      <c r="D454" s="5" t="s">
        <v>25</v>
      </c>
      <c r="E454" s="9" t="s">
        <v>441</v>
      </c>
      <c r="F454" s="8">
        <v>42784</v>
      </c>
    </row>
    <row r="455" spans="1:6" ht="27.95" x14ac:dyDescent="0.3">
      <c r="A455" s="5" t="s">
        <v>429</v>
      </c>
      <c r="B455" s="6" t="s">
        <v>430</v>
      </c>
      <c r="C455" s="26" t="s">
        <v>431</v>
      </c>
      <c r="D455" s="5" t="s">
        <v>106</v>
      </c>
      <c r="E455" s="9" t="s">
        <v>441</v>
      </c>
      <c r="F455" s="8">
        <v>42784</v>
      </c>
    </row>
    <row r="456" spans="1:6" ht="27.95" x14ac:dyDescent="0.3">
      <c r="A456" s="5" t="s">
        <v>432</v>
      </c>
      <c r="B456" s="6" t="s">
        <v>433</v>
      </c>
      <c r="C456" s="26" t="s">
        <v>434</v>
      </c>
      <c r="D456" s="5" t="s">
        <v>25</v>
      </c>
      <c r="E456" s="9" t="s">
        <v>441</v>
      </c>
      <c r="F456" s="8">
        <v>42784</v>
      </c>
    </row>
    <row r="457" spans="1:6" ht="27.95" x14ac:dyDescent="0.3">
      <c r="A457" s="5" t="s">
        <v>435</v>
      </c>
      <c r="B457" s="6" t="s">
        <v>436</v>
      </c>
      <c r="C457" s="26" t="s">
        <v>437</v>
      </c>
      <c r="D457" s="5" t="s">
        <v>98</v>
      </c>
      <c r="E457" s="9" t="s">
        <v>441</v>
      </c>
      <c r="F457" s="8">
        <v>42784</v>
      </c>
    </row>
    <row r="458" spans="1:6" ht="27.95" x14ac:dyDescent="0.3">
      <c r="A458" s="5" t="s">
        <v>438</v>
      </c>
      <c r="B458" s="6" t="s">
        <v>439</v>
      </c>
      <c r="C458" s="26" t="s">
        <v>440</v>
      </c>
      <c r="D458" s="5" t="s">
        <v>25</v>
      </c>
      <c r="E458" s="9" t="s">
        <v>441</v>
      </c>
      <c r="F458" s="8">
        <v>42784</v>
      </c>
    </row>
    <row r="459" spans="1:6" x14ac:dyDescent="0.3">
      <c r="A459" s="5" t="str">
        <f>"0385518"</f>
        <v>0385518</v>
      </c>
      <c r="B459" s="6" t="s">
        <v>448</v>
      </c>
      <c r="C459" s="26" t="str">
        <f>"856217000308"</f>
        <v>856217000308</v>
      </c>
      <c r="D459" s="5" t="s">
        <v>449</v>
      </c>
      <c r="E459" s="6" t="s">
        <v>86</v>
      </c>
      <c r="F459" s="8">
        <v>42783</v>
      </c>
    </row>
    <row r="460" spans="1:6" s="35" customFormat="1" ht="27.95" x14ac:dyDescent="0.3">
      <c r="A460" s="50" t="s">
        <v>385</v>
      </c>
      <c r="B460" s="42" t="s">
        <v>386</v>
      </c>
      <c r="C460" s="34" t="s">
        <v>382</v>
      </c>
      <c r="D460" s="5" t="s">
        <v>98</v>
      </c>
      <c r="E460" s="55" t="s">
        <v>390</v>
      </c>
      <c r="F460" s="53" t="s">
        <v>379</v>
      </c>
    </row>
    <row r="461" spans="1:6" s="35" customFormat="1" ht="27.95" x14ac:dyDescent="0.3">
      <c r="A461" s="50" t="s">
        <v>384</v>
      </c>
      <c r="B461" s="42" t="s">
        <v>387</v>
      </c>
      <c r="C461" s="34" t="s">
        <v>389</v>
      </c>
      <c r="D461" s="5" t="s">
        <v>25</v>
      </c>
      <c r="E461" s="55" t="s">
        <v>391</v>
      </c>
      <c r="F461" s="53" t="s">
        <v>379</v>
      </c>
    </row>
    <row r="462" spans="1:6" s="35" customFormat="1" ht="27.95" x14ac:dyDescent="0.3">
      <c r="A462" s="50" t="s">
        <v>380</v>
      </c>
      <c r="B462" s="42" t="s">
        <v>388</v>
      </c>
      <c r="C462" s="34" t="s">
        <v>389</v>
      </c>
      <c r="D462" s="5" t="s">
        <v>25</v>
      </c>
      <c r="E462" s="55" t="s">
        <v>383</v>
      </c>
      <c r="F462" s="53" t="s">
        <v>379</v>
      </c>
    </row>
    <row r="463" spans="1:6" s="35" customFormat="1" x14ac:dyDescent="0.3">
      <c r="A463" s="50" t="s">
        <v>345</v>
      </c>
      <c r="B463" s="42" t="s">
        <v>352</v>
      </c>
      <c r="C463" s="34" t="s">
        <v>349</v>
      </c>
      <c r="D463" s="5" t="s">
        <v>98</v>
      </c>
      <c r="E463" s="42" t="s">
        <v>350</v>
      </c>
      <c r="F463" s="53" t="s">
        <v>379</v>
      </c>
    </row>
    <row r="464" spans="1:6" x14ac:dyDescent="0.3">
      <c r="A464" s="5" t="str">
        <f>"0127324"</f>
        <v>0127324</v>
      </c>
      <c r="B464" s="6" t="s">
        <v>443</v>
      </c>
      <c r="C464" s="26" t="str">
        <f>"661144000457"</f>
        <v>661144000457</v>
      </c>
      <c r="D464" s="5" t="s">
        <v>202</v>
      </c>
      <c r="E464" s="6" t="s">
        <v>5</v>
      </c>
      <c r="F464" s="8">
        <v>42776</v>
      </c>
    </row>
    <row r="465" spans="1:6" x14ac:dyDescent="0.3">
      <c r="A465" s="5" t="str">
        <f>"0459016"</f>
        <v>0459016</v>
      </c>
      <c r="B465" s="6" t="s">
        <v>116</v>
      </c>
      <c r="C465" s="26" t="str">
        <f>"186360050005"</f>
        <v>186360050005</v>
      </c>
      <c r="D465" s="5" t="s">
        <v>25</v>
      </c>
      <c r="E465" s="6" t="s">
        <v>86</v>
      </c>
      <c r="F465" s="8">
        <v>42776</v>
      </c>
    </row>
    <row r="466" spans="1:6" ht="27.95" x14ac:dyDescent="0.3">
      <c r="A466" s="5" t="str">
        <f>"0358911"</f>
        <v>0358911</v>
      </c>
      <c r="B466" s="6" t="s">
        <v>444</v>
      </c>
      <c r="C466" s="26" t="str">
        <f>"1220000070103"</f>
        <v>1220000070103</v>
      </c>
      <c r="D466" s="5" t="s">
        <v>202</v>
      </c>
      <c r="E466" s="48" t="s">
        <v>445</v>
      </c>
      <c r="F466" s="8">
        <v>42775</v>
      </c>
    </row>
    <row r="467" spans="1:6" ht="27.95" x14ac:dyDescent="0.3">
      <c r="A467" s="5" t="str">
        <f>"0068924"</f>
        <v>0068924</v>
      </c>
      <c r="B467" s="6" t="s">
        <v>446</v>
      </c>
      <c r="C467" s="26" t="str">
        <f>"1220000070097"</f>
        <v>1220000070097</v>
      </c>
      <c r="D467" s="5" t="s">
        <v>202</v>
      </c>
      <c r="E467" s="48" t="s">
        <v>447</v>
      </c>
      <c r="F467" s="8">
        <v>42775</v>
      </c>
    </row>
    <row r="468" spans="1:6" x14ac:dyDescent="0.3">
      <c r="A468" s="5" t="str">
        <f>"0231829"</f>
        <v>0231829</v>
      </c>
      <c r="B468" s="6" t="s">
        <v>442</v>
      </c>
      <c r="C468" s="26" t="str">
        <f>"8410023000031"</f>
        <v>8410023000031</v>
      </c>
      <c r="D468" s="5" t="s">
        <v>202</v>
      </c>
      <c r="E468" s="6" t="s">
        <v>377</v>
      </c>
      <c r="F468" s="8">
        <v>42773</v>
      </c>
    </row>
    <row r="469" spans="1:6" s="35" customFormat="1" ht="27.95" x14ac:dyDescent="0.3">
      <c r="A469" s="33">
        <v>38265</v>
      </c>
      <c r="B469" s="42" t="s">
        <v>381</v>
      </c>
      <c r="C469" s="34" t="s">
        <v>382</v>
      </c>
      <c r="D469" s="5" t="s">
        <v>25</v>
      </c>
      <c r="E469" s="55" t="s">
        <v>348</v>
      </c>
      <c r="F469" s="53" t="s">
        <v>378</v>
      </c>
    </row>
    <row r="470" spans="1:6" s="35" customFormat="1" ht="27.95" x14ac:dyDescent="0.3">
      <c r="A470" s="50" t="s">
        <v>342</v>
      </c>
      <c r="B470" s="42" t="s">
        <v>351</v>
      </c>
      <c r="C470" s="54" t="s">
        <v>346</v>
      </c>
      <c r="D470" s="5" t="s">
        <v>98</v>
      </c>
      <c r="E470" s="55" t="s">
        <v>348</v>
      </c>
      <c r="F470" s="53" t="s">
        <v>344</v>
      </c>
    </row>
    <row r="471" spans="1:6" s="35" customFormat="1" ht="27.95" x14ac:dyDescent="0.3">
      <c r="A471" s="50" t="s">
        <v>343</v>
      </c>
      <c r="B471" s="42" t="s">
        <v>347</v>
      </c>
      <c r="C471" s="34" t="s">
        <v>341</v>
      </c>
      <c r="D471" s="5" t="s">
        <v>37</v>
      </c>
      <c r="E471" s="9" t="s">
        <v>348</v>
      </c>
      <c r="F471" s="53" t="s">
        <v>344</v>
      </c>
    </row>
    <row r="472" spans="1:6" x14ac:dyDescent="0.3">
      <c r="A472" s="5" t="str">
        <f>"0156125"</f>
        <v>0156125</v>
      </c>
      <c r="B472" s="6" t="s">
        <v>401</v>
      </c>
      <c r="C472" s="26" t="str">
        <f>"624080021825"</f>
        <v>624080021825</v>
      </c>
      <c r="D472" s="5" t="s">
        <v>202</v>
      </c>
      <c r="E472" s="6" t="s">
        <v>402</v>
      </c>
      <c r="F472" s="8">
        <v>42767</v>
      </c>
    </row>
    <row r="473" spans="1:6" ht="27.95" x14ac:dyDescent="0.3">
      <c r="A473" s="5" t="str">
        <f>"0449520"</f>
        <v>0449520</v>
      </c>
      <c r="B473" s="6" t="s">
        <v>334</v>
      </c>
      <c r="C473" s="26" t="str">
        <f>"062067555350"</f>
        <v>062067555350</v>
      </c>
      <c r="D473" s="5" t="s">
        <v>25</v>
      </c>
      <c r="E473" s="9" t="s">
        <v>335</v>
      </c>
      <c r="F473" s="8">
        <v>42765</v>
      </c>
    </row>
    <row r="474" spans="1:6" x14ac:dyDescent="0.3">
      <c r="A474" s="5" t="s">
        <v>353</v>
      </c>
      <c r="B474" s="6" t="s">
        <v>354</v>
      </c>
      <c r="C474" s="26" t="s">
        <v>355</v>
      </c>
      <c r="D474" s="5" t="s">
        <v>202</v>
      </c>
      <c r="E474" s="6" t="s">
        <v>377</v>
      </c>
      <c r="F474" s="8">
        <v>42760</v>
      </c>
    </row>
    <row r="475" spans="1:6" x14ac:dyDescent="0.3">
      <c r="A475" s="5" t="s">
        <v>356</v>
      </c>
      <c r="B475" s="6" t="s">
        <v>357</v>
      </c>
      <c r="C475" s="26" t="s">
        <v>358</v>
      </c>
      <c r="D475" s="5" t="s">
        <v>202</v>
      </c>
      <c r="E475" s="6" t="s">
        <v>377</v>
      </c>
      <c r="F475" s="8">
        <v>42760</v>
      </c>
    </row>
    <row r="476" spans="1:6" x14ac:dyDescent="0.3">
      <c r="A476" s="5" t="s">
        <v>359</v>
      </c>
      <c r="B476" s="6" t="s">
        <v>360</v>
      </c>
      <c r="C476" s="26" t="s">
        <v>361</v>
      </c>
      <c r="D476" s="5" t="s">
        <v>202</v>
      </c>
      <c r="E476" s="6" t="s">
        <v>377</v>
      </c>
      <c r="F476" s="8">
        <v>42760</v>
      </c>
    </row>
    <row r="477" spans="1:6" x14ac:dyDescent="0.3">
      <c r="A477" s="56" t="s">
        <v>397</v>
      </c>
      <c r="B477" s="6" t="s">
        <v>398</v>
      </c>
      <c r="C477" s="57" t="s">
        <v>399</v>
      </c>
      <c r="D477" s="5" t="s">
        <v>202</v>
      </c>
      <c r="E477" s="6" t="s">
        <v>377</v>
      </c>
      <c r="F477" s="8">
        <v>42760</v>
      </c>
    </row>
    <row r="478" spans="1:6" x14ac:dyDescent="0.3">
      <c r="A478" s="5" t="s">
        <v>362</v>
      </c>
      <c r="B478" s="6" t="s">
        <v>363</v>
      </c>
      <c r="C478" s="26" t="s">
        <v>364</v>
      </c>
      <c r="D478" s="5" t="s">
        <v>202</v>
      </c>
      <c r="E478" s="6" t="s">
        <v>377</v>
      </c>
      <c r="F478" s="8">
        <v>42760</v>
      </c>
    </row>
    <row r="479" spans="1:6" x14ac:dyDescent="0.3">
      <c r="A479" s="5" t="s">
        <v>365</v>
      </c>
      <c r="B479" s="6" t="s">
        <v>366</v>
      </c>
      <c r="C479" s="26" t="s">
        <v>367</v>
      </c>
      <c r="D479" s="5" t="s">
        <v>202</v>
      </c>
      <c r="E479" s="6" t="s">
        <v>377</v>
      </c>
      <c r="F479" s="8">
        <v>42760</v>
      </c>
    </row>
    <row r="480" spans="1:6" x14ac:dyDescent="0.3">
      <c r="A480" s="56" t="s">
        <v>392</v>
      </c>
      <c r="B480" s="6" t="s">
        <v>393</v>
      </c>
      <c r="C480" s="57" t="s">
        <v>394</v>
      </c>
      <c r="D480" s="5" t="s">
        <v>202</v>
      </c>
      <c r="E480" s="6" t="s">
        <v>377</v>
      </c>
      <c r="F480" s="8">
        <v>42760</v>
      </c>
    </row>
    <row r="481" spans="1:6" x14ac:dyDescent="0.3">
      <c r="A481" s="5" t="s">
        <v>368</v>
      </c>
      <c r="B481" s="6" t="s">
        <v>369</v>
      </c>
      <c r="C481" s="26" t="s">
        <v>370</v>
      </c>
      <c r="D481" s="5" t="s">
        <v>202</v>
      </c>
      <c r="E481" s="6" t="s">
        <v>377</v>
      </c>
      <c r="F481" s="8">
        <v>42760</v>
      </c>
    </row>
    <row r="482" spans="1:6" x14ac:dyDescent="0.3">
      <c r="A482" s="5" t="s">
        <v>371</v>
      </c>
      <c r="B482" s="6" t="s">
        <v>372</v>
      </c>
      <c r="C482" s="26" t="s">
        <v>373</v>
      </c>
      <c r="D482" s="5" t="s">
        <v>202</v>
      </c>
      <c r="E482" s="6" t="s">
        <v>377</v>
      </c>
      <c r="F482" s="8">
        <v>42760</v>
      </c>
    </row>
    <row r="483" spans="1:6" x14ac:dyDescent="0.3">
      <c r="A483" s="5" t="s">
        <v>374</v>
      </c>
      <c r="B483" s="6" t="s">
        <v>375</v>
      </c>
      <c r="C483" s="26" t="s">
        <v>376</v>
      </c>
      <c r="D483" s="5" t="s">
        <v>202</v>
      </c>
      <c r="E483" s="6" t="s">
        <v>377</v>
      </c>
      <c r="F483" s="8">
        <v>42760</v>
      </c>
    </row>
    <row r="484" spans="1:6" ht="15.05" customHeight="1" x14ac:dyDescent="0.3">
      <c r="A484" s="56" t="s">
        <v>395</v>
      </c>
      <c r="B484" s="6" t="s">
        <v>396</v>
      </c>
      <c r="C484" s="57" t="s">
        <v>400</v>
      </c>
      <c r="D484" s="5" t="s">
        <v>202</v>
      </c>
      <c r="E484" s="6" t="s">
        <v>377</v>
      </c>
      <c r="F484" s="8">
        <v>42760</v>
      </c>
    </row>
    <row r="485" spans="1:6" ht="27.95" x14ac:dyDescent="0.3">
      <c r="A485" s="5" t="str">
        <f>"0441162"</f>
        <v>0441162</v>
      </c>
      <c r="B485" s="6" t="s">
        <v>332</v>
      </c>
      <c r="C485" s="26" t="str">
        <f>"874537197140"</f>
        <v>874537197140</v>
      </c>
      <c r="D485" s="5" t="s">
        <v>202</v>
      </c>
      <c r="E485" s="9" t="s">
        <v>333</v>
      </c>
      <c r="F485" s="8">
        <v>42758</v>
      </c>
    </row>
    <row r="486" spans="1:6" x14ac:dyDescent="0.3">
      <c r="A486" s="5" t="str">
        <f>"0436899"</f>
        <v>0436899</v>
      </c>
      <c r="B486" s="6" t="s">
        <v>340</v>
      </c>
      <c r="C486" s="26" t="str">
        <f>"091037995254"</f>
        <v>091037995254</v>
      </c>
      <c r="D486" s="5" t="s">
        <v>76</v>
      </c>
      <c r="E486" s="6" t="s">
        <v>86</v>
      </c>
      <c r="F486" s="8">
        <v>42756</v>
      </c>
    </row>
    <row r="487" spans="1:6" x14ac:dyDescent="0.3">
      <c r="A487" s="5" t="str">
        <f>"0490474"</f>
        <v>0490474</v>
      </c>
      <c r="B487" s="6" t="s">
        <v>338</v>
      </c>
      <c r="C487" s="26" t="str">
        <f>"882842000048"</f>
        <v>882842000048</v>
      </c>
      <c r="D487" s="5" t="s">
        <v>25</v>
      </c>
      <c r="E487" s="6" t="s">
        <v>339</v>
      </c>
      <c r="F487" s="8">
        <v>42755</v>
      </c>
    </row>
    <row r="488" spans="1:6" x14ac:dyDescent="0.3">
      <c r="A488" s="5" t="str">
        <f>"0564674"</f>
        <v>0564674</v>
      </c>
      <c r="B488" s="6" t="s">
        <v>336</v>
      </c>
      <c r="C488" s="26" t="str">
        <f>"8002062008132"</f>
        <v>8002062008132</v>
      </c>
      <c r="D488" s="5" t="s">
        <v>202</v>
      </c>
      <c r="E488" s="6" t="s">
        <v>337</v>
      </c>
      <c r="F488" s="8">
        <v>42749</v>
      </c>
    </row>
    <row r="489" spans="1:6" x14ac:dyDescent="0.3">
      <c r="A489" s="52">
        <v>215632</v>
      </c>
      <c r="B489" s="6" t="s">
        <v>328</v>
      </c>
      <c r="C489" s="26">
        <v>779373545004</v>
      </c>
      <c r="D489" s="5" t="s">
        <v>202</v>
      </c>
      <c r="E489" s="6" t="s">
        <v>331</v>
      </c>
      <c r="F489" s="8">
        <v>42747</v>
      </c>
    </row>
    <row r="490" spans="1:6" x14ac:dyDescent="0.3">
      <c r="A490" s="52">
        <v>360941</v>
      </c>
      <c r="B490" s="6" t="s">
        <v>329</v>
      </c>
      <c r="C490" s="26">
        <v>779373545301</v>
      </c>
      <c r="D490" s="5" t="s">
        <v>202</v>
      </c>
      <c r="E490" s="6" t="s">
        <v>331</v>
      </c>
      <c r="F490" s="8">
        <v>42747</v>
      </c>
    </row>
    <row r="491" spans="1:6" x14ac:dyDescent="0.3">
      <c r="A491" s="52">
        <v>418657</v>
      </c>
      <c r="B491" s="6" t="s">
        <v>330</v>
      </c>
      <c r="C491" s="26">
        <v>779373509181</v>
      </c>
      <c r="D491" s="5" t="s">
        <v>202</v>
      </c>
      <c r="E491" s="6" t="s">
        <v>331</v>
      </c>
      <c r="F491" s="8">
        <v>42747</v>
      </c>
    </row>
    <row r="492" spans="1:6" x14ac:dyDescent="0.3">
      <c r="A492" s="5" t="str">
        <f>"0426585"</f>
        <v>0426585</v>
      </c>
      <c r="B492" s="6" t="s">
        <v>291</v>
      </c>
      <c r="C492" s="26" t="str">
        <f>"851071000297"</f>
        <v>851071000297</v>
      </c>
      <c r="D492" s="5" t="s">
        <v>202</v>
      </c>
      <c r="E492" s="6" t="s">
        <v>286</v>
      </c>
      <c r="F492" s="8">
        <v>42758</v>
      </c>
    </row>
    <row r="493" spans="1:6" x14ac:dyDescent="0.3">
      <c r="A493" s="5" t="str">
        <f>"0457796"</f>
        <v>0457796</v>
      </c>
      <c r="B493" s="6" t="s">
        <v>326</v>
      </c>
      <c r="C493" s="26" t="str">
        <f>"056327010567"</f>
        <v>056327010567</v>
      </c>
      <c r="D493" s="5" t="s">
        <v>25</v>
      </c>
      <c r="E493" s="6" t="s">
        <v>5</v>
      </c>
      <c r="F493" s="8">
        <v>42742</v>
      </c>
    </row>
    <row r="494" spans="1:6" x14ac:dyDescent="0.3">
      <c r="A494" s="5" t="str">
        <f>"0164087"</f>
        <v>0164087</v>
      </c>
      <c r="B494" s="6" t="s">
        <v>324</v>
      </c>
      <c r="C494" s="26" t="str">
        <f>"663935100322"</f>
        <v>663935100322</v>
      </c>
      <c r="D494" s="5" t="s">
        <v>202</v>
      </c>
      <c r="E494" s="6" t="s">
        <v>325</v>
      </c>
      <c r="F494" s="8">
        <v>42739</v>
      </c>
    </row>
    <row r="495" spans="1:6" ht="14.1" customHeight="1" x14ac:dyDescent="0.3">
      <c r="A495" s="5" t="str">
        <f>"0247189"</f>
        <v>0247189</v>
      </c>
      <c r="B495" s="6" t="s">
        <v>192</v>
      </c>
      <c r="C495" s="26" t="str">
        <f>"874414000006"</f>
        <v>874414000006</v>
      </c>
      <c r="D495" s="5" t="s">
        <v>37</v>
      </c>
      <c r="E495" s="6" t="s">
        <v>327</v>
      </c>
      <c r="F495" s="8">
        <v>42739</v>
      </c>
    </row>
  </sheetData>
  <autoFilter ref="A3:F495" xr:uid="{00000000-0009-0000-0000-000004000000}"/>
  <sortState xmlns:xlrd2="http://schemas.microsoft.com/office/spreadsheetml/2017/richdata2" ref="A4:F164">
    <sortCondition descending="1" ref="F4:F164"/>
  </sortState>
  <pageMargins left="0.25" right="0.25" top="0.75" bottom="0.75" header="0.3" footer="0.3"/>
  <pageSetup paperSize="5" fitToWidth="0" fitToHeight="0" orientation="landscape" horizontalDpi="4294967295" verticalDpi="4294967295" r:id="rId1"/>
  <headerFooter>
    <oddHeader>&amp;R&amp;D</oddHeader>
  </headerFooter>
  <ignoredErrors>
    <ignoredError sqref="C53 C5:C6 C7:C5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V198"/>
  <sheetViews>
    <sheetView zoomScaleNormal="100" workbookViewId="0">
      <pane ySplit="3" topLeftCell="A4" activePane="bottomLeft" state="frozen"/>
      <selection pane="bottomLeft" activeCell="B10" sqref="B10"/>
    </sheetView>
  </sheetViews>
  <sheetFormatPr defaultRowHeight="14" x14ac:dyDescent="0.3"/>
  <cols>
    <col min="1" max="1" width="13.3984375" style="4" customWidth="1"/>
    <col min="2" max="2" width="46.3984375" bestFit="1" customWidth="1"/>
    <col min="3" max="3" width="18.8984375" style="23" customWidth="1"/>
    <col min="4" max="4" width="8.8984375" style="4"/>
    <col min="5" max="5" width="64.3984375" customWidth="1"/>
    <col min="6" max="6" width="10.3984375" style="1" customWidth="1"/>
  </cols>
  <sheetData>
    <row r="1" spans="1:6" x14ac:dyDescent="0.3">
      <c r="A1" s="28" t="s">
        <v>0</v>
      </c>
    </row>
    <row r="2" spans="1:6" x14ac:dyDescent="0.3">
      <c r="E2" s="59"/>
    </row>
    <row r="3" spans="1:6" ht="27.95" x14ac:dyDescent="0.3">
      <c r="A3" s="27" t="s">
        <v>1</v>
      </c>
      <c r="B3" s="2" t="s">
        <v>2</v>
      </c>
      <c r="C3" s="24" t="s">
        <v>23</v>
      </c>
      <c r="D3" s="22" t="s">
        <v>3</v>
      </c>
      <c r="E3" s="2" t="s">
        <v>17</v>
      </c>
      <c r="F3" s="3" t="s">
        <v>4</v>
      </c>
    </row>
    <row r="4" spans="1:6" x14ac:dyDescent="0.3">
      <c r="A4" s="5" t="str">
        <f>"0472647"</f>
        <v>0472647</v>
      </c>
      <c r="B4" s="6" t="s">
        <v>323</v>
      </c>
      <c r="C4" s="26" t="str">
        <f>"186360000482"</f>
        <v>186360000482</v>
      </c>
      <c r="D4" s="5" t="s">
        <v>25</v>
      </c>
      <c r="E4" s="6" t="s">
        <v>86</v>
      </c>
      <c r="F4" s="8">
        <v>42728</v>
      </c>
    </row>
    <row r="5" spans="1:6" x14ac:dyDescent="0.3">
      <c r="A5" s="5" t="str">
        <f>"0467050"</f>
        <v>0467050</v>
      </c>
      <c r="B5" s="6" t="s">
        <v>321</v>
      </c>
      <c r="C5" s="26" t="str">
        <f>"812339000091"</f>
        <v>812339000091</v>
      </c>
      <c r="D5" s="5" t="s">
        <v>25</v>
      </c>
      <c r="E5" s="6" t="s">
        <v>86</v>
      </c>
      <c r="F5" s="8">
        <v>42725</v>
      </c>
    </row>
    <row r="6" spans="1:6" x14ac:dyDescent="0.3">
      <c r="A6" s="50" t="str">
        <f>"0467324"</f>
        <v>0467324</v>
      </c>
      <c r="B6" s="42" t="s">
        <v>319</v>
      </c>
      <c r="C6" s="44" t="str">
        <f>"812652000020"</f>
        <v>812652000020</v>
      </c>
      <c r="D6" s="43" t="s">
        <v>25</v>
      </c>
      <c r="E6" s="32" t="s">
        <v>320</v>
      </c>
      <c r="F6" s="49">
        <v>42723</v>
      </c>
    </row>
    <row r="7" spans="1:6" x14ac:dyDescent="0.3">
      <c r="A7" s="5" t="str">
        <f>"0427831"</f>
        <v>0427831</v>
      </c>
      <c r="B7" s="6" t="s">
        <v>317</v>
      </c>
      <c r="C7" s="26">
        <v>613395000052</v>
      </c>
      <c r="D7" s="5" t="s">
        <v>48</v>
      </c>
      <c r="E7" s="6" t="s">
        <v>318</v>
      </c>
      <c r="F7" s="8">
        <v>42720</v>
      </c>
    </row>
    <row r="8" spans="1:6" s="35" customFormat="1" x14ac:dyDescent="0.3">
      <c r="A8" s="50">
        <v>434399</v>
      </c>
      <c r="B8" s="42" t="s">
        <v>315</v>
      </c>
      <c r="C8" s="44">
        <v>627843374756</v>
      </c>
      <c r="D8" s="43" t="s">
        <v>25</v>
      </c>
      <c r="E8" s="42" t="s">
        <v>316</v>
      </c>
      <c r="F8" s="51">
        <v>42720</v>
      </c>
    </row>
    <row r="9" spans="1:6" s="35" customFormat="1" x14ac:dyDescent="0.3">
      <c r="A9" s="50" t="s">
        <v>312</v>
      </c>
      <c r="B9" s="42" t="s">
        <v>313</v>
      </c>
      <c r="C9" s="34" t="s">
        <v>314</v>
      </c>
      <c r="D9" s="43" t="s">
        <v>106</v>
      </c>
      <c r="E9" s="42" t="s">
        <v>322</v>
      </c>
      <c r="F9" s="47">
        <v>42716</v>
      </c>
    </row>
    <row r="10" spans="1:6" x14ac:dyDescent="0.3">
      <c r="A10" s="5" t="str">
        <f>"0309641"</f>
        <v>0309641</v>
      </c>
      <c r="B10" s="6" t="s">
        <v>311</v>
      </c>
      <c r="C10" s="26" t="str">
        <f>"627005014018"</f>
        <v>627005014018</v>
      </c>
      <c r="D10" s="5" t="s">
        <v>25</v>
      </c>
      <c r="E10" s="6" t="s">
        <v>86</v>
      </c>
      <c r="F10" s="8">
        <v>42712</v>
      </c>
    </row>
    <row r="11" spans="1:6" x14ac:dyDescent="0.3">
      <c r="A11" s="5" t="str">
        <f>"0474023"</f>
        <v>0474023</v>
      </c>
      <c r="B11" s="6" t="s">
        <v>310</v>
      </c>
      <c r="C11" s="26" t="str">
        <f>"874414000099"</f>
        <v>874414000099</v>
      </c>
      <c r="D11" s="5" t="s">
        <v>25</v>
      </c>
      <c r="E11" s="6" t="s">
        <v>86</v>
      </c>
      <c r="F11" s="8">
        <v>42711</v>
      </c>
    </row>
    <row r="12" spans="1:6" x14ac:dyDescent="0.3">
      <c r="A12" s="5" t="str">
        <f>"0466714"</f>
        <v>0466714</v>
      </c>
      <c r="B12" s="6" t="s">
        <v>309</v>
      </c>
      <c r="C12" s="26" t="str">
        <f>"186360050043"</f>
        <v>186360050043</v>
      </c>
      <c r="D12" s="5" t="s">
        <v>25</v>
      </c>
      <c r="E12" s="6" t="s">
        <v>86</v>
      </c>
      <c r="F12" s="8">
        <v>42710</v>
      </c>
    </row>
    <row r="13" spans="1:6" s="35" customFormat="1" x14ac:dyDescent="0.3">
      <c r="A13" s="50" t="s">
        <v>303</v>
      </c>
      <c r="B13" s="42" t="s">
        <v>304</v>
      </c>
      <c r="C13" s="34" t="s">
        <v>305</v>
      </c>
      <c r="D13" s="43" t="s">
        <v>306</v>
      </c>
      <c r="E13" s="9" t="s">
        <v>302</v>
      </c>
      <c r="F13" s="47">
        <v>42699</v>
      </c>
    </row>
    <row r="14" spans="1:6" s="35" customFormat="1" x14ac:dyDescent="0.3">
      <c r="A14" s="50" t="s">
        <v>307</v>
      </c>
      <c r="B14" s="42" t="s">
        <v>304</v>
      </c>
      <c r="C14" s="34" t="s">
        <v>308</v>
      </c>
      <c r="D14" s="43" t="s">
        <v>137</v>
      </c>
      <c r="E14" s="9" t="s">
        <v>302</v>
      </c>
      <c r="F14" s="47">
        <v>42699</v>
      </c>
    </row>
    <row r="15" spans="1:6" s="35" customFormat="1" x14ac:dyDescent="0.3">
      <c r="A15" s="50" t="s">
        <v>299</v>
      </c>
      <c r="B15" s="42" t="s">
        <v>300</v>
      </c>
      <c r="C15" s="34" t="s">
        <v>301</v>
      </c>
      <c r="D15" s="43" t="s">
        <v>202</v>
      </c>
      <c r="E15" s="6" t="s">
        <v>115</v>
      </c>
      <c r="F15" s="47">
        <v>42699</v>
      </c>
    </row>
    <row r="16" spans="1:6" x14ac:dyDescent="0.3">
      <c r="A16" s="5" t="str">
        <f>"0484428"</f>
        <v>0484428</v>
      </c>
      <c r="B16" s="6" t="s">
        <v>298</v>
      </c>
      <c r="C16" s="26" t="str">
        <f>"797698420851"</f>
        <v>797698420851</v>
      </c>
      <c r="D16" s="5" t="s">
        <v>25</v>
      </c>
      <c r="E16" s="6" t="s">
        <v>5</v>
      </c>
      <c r="F16" s="8">
        <v>42696</v>
      </c>
    </row>
    <row r="17" spans="1:6" x14ac:dyDescent="0.3">
      <c r="A17" s="5" t="str">
        <f>"0419127"</f>
        <v>0419127</v>
      </c>
      <c r="B17" s="6" t="s">
        <v>222</v>
      </c>
      <c r="C17" s="26" t="str">
        <f>"627005524012"</f>
        <v>627005524012</v>
      </c>
      <c r="D17" s="5" t="s">
        <v>25</v>
      </c>
      <c r="E17" s="6" t="s">
        <v>5</v>
      </c>
      <c r="F17" s="8">
        <v>42693</v>
      </c>
    </row>
    <row r="18" spans="1:6" ht="27.95" x14ac:dyDescent="0.3">
      <c r="A18" s="5" t="str">
        <f>"0362772"</f>
        <v>0362772</v>
      </c>
      <c r="B18" s="6" t="s">
        <v>293</v>
      </c>
      <c r="C18" s="26" t="str">
        <f>"627843230106"</f>
        <v>627843230106</v>
      </c>
      <c r="D18" s="5" t="s">
        <v>294</v>
      </c>
      <c r="E18" s="9" t="s">
        <v>295</v>
      </c>
      <c r="F18" s="8">
        <v>42709</v>
      </c>
    </row>
    <row r="19" spans="1:6" x14ac:dyDescent="0.3">
      <c r="A19" s="5" t="str">
        <f>"0461624"</f>
        <v>0461624</v>
      </c>
      <c r="B19" s="6" t="s">
        <v>288</v>
      </c>
      <c r="C19" s="26" t="str">
        <f>"627843518976"</f>
        <v>627843518976</v>
      </c>
      <c r="D19" s="5" t="s">
        <v>25</v>
      </c>
      <c r="E19" s="6" t="s">
        <v>290</v>
      </c>
      <c r="F19" s="8">
        <v>42709</v>
      </c>
    </row>
    <row r="20" spans="1:6" x14ac:dyDescent="0.3">
      <c r="A20" s="5" t="str">
        <f>"0461632"</f>
        <v>0461632</v>
      </c>
      <c r="B20" s="6" t="s">
        <v>289</v>
      </c>
      <c r="C20" s="26" t="str">
        <f>"627843518983"</f>
        <v>627843518983</v>
      </c>
      <c r="D20" s="5" t="s">
        <v>25</v>
      </c>
      <c r="E20" s="6" t="s">
        <v>290</v>
      </c>
      <c r="F20" s="8">
        <v>42709</v>
      </c>
    </row>
    <row r="21" spans="1:6" x14ac:dyDescent="0.3">
      <c r="A21" s="5" t="str">
        <f>"0457044"</f>
        <v>0457044</v>
      </c>
      <c r="B21" s="6" t="s">
        <v>284</v>
      </c>
      <c r="C21" s="26" t="str">
        <f>"627843471233"</f>
        <v>627843471233</v>
      </c>
      <c r="D21" s="5" t="s">
        <v>285</v>
      </c>
      <c r="E21" s="6" t="s">
        <v>286</v>
      </c>
      <c r="F21" s="8">
        <v>42702</v>
      </c>
    </row>
    <row r="22" spans="1:6" x14ac:dyDescent="0.3">
      <c r="A22" s="5" t="str">
        <f>"0002881"</f>
        <v>0002881</v>
      </c>
      <c r="B22" s="6" t="s">
        <v>296</v>
      </c>
      <c r="C22" s="26" t="str">
        <f>"3040072510509"</f>
        <v>3040072510509</v>
      </c>
      <c r="D22" s="5" t="s">
        <v>202</v>
      </c>
      <c r="E22" s="6" t="s">
        <v>297</v>
      </c>
      <c r="F22" s="8">
        <v>42692</v>
      </c>
    </row>
    <row r="23" spans="1:6" x14ac:dyDescent="0.3">
      <c r="A23" s="5" t="str">
        <f>"0465237"</f>
        <v>0465237</v>
      </c>
      <c r="B23" s="6" t="s">
        <v>287</v>
      </c>
      <c r="C23" s="26" t="str">
        <f>"797698420813"</f>
        <v>797698420813</v>
      </c>
      <c r="D23" s="5" t="s">
        <v>25</v>
      </c>
      <c r="E23" s="6" t="s">
        <v>86</v>
      </c>
      <c r="F23" s="8">
        <v>42690</v>
      </c>
    </row>
    <row r="24" spans="1:6" ht="27.95" x14ac:dyDescent="0.3">
      <c r="A24" s="5" t="str">
        <f>"0426585"</f>
        <v>0426585</v>
      </c>
      <c r="B24" s="6" t="s">
        <v>291</v>
      </c>
      <c r="C24" s="26" t="str">
        <f>"851071000129"</f>
        <v>851071000129</v>
      </c>
      <c r="D24" s="5" t="s">
        <v>202</v>
      </c>
      <c r="E24" s="9" t="s">
        <v>292</v>
      </c>
      <c r="F24" s="8">
        <v>42690</v>
      </c>
    </row>
    <row r="25" spans="1:6" x14ac:dyDescent="0.3">
      <c r="A25" s="5" t="str">
        <f>"0467001"</f>
        <v>0467001</v>
      </c>
      <c r="B25" s="6" t="s">
        <v>123</v>
      </c>
      <c r="C25" s="26" t="str">
        <f>"852500001465"</f>
        <v>852500001465</v>
      </c>
      <c r="D25" s="5" t="s">
        <v>124</v>
      </c>
      <c r="E25" s="6" t="s">
        <v>86</v>
      </c>
      <c r="F25" s="8">
        <v>42685</v>
      </c>
    </row>
    <row r="26" spans="1:6" x14ac:dyDescent="0.3">
      <c r="A26" s="5" t="str">
        <f>"0459487"</f>
        <v>0459487</v>
      </c>
      <c r="B26" s="6" t="s">
        <v>283</v>
      </c>
      <c r="C26" s="26" t="str">
        <f>"776029703191"</f>
        <v>776029703191</v>
      </c>
      <c r="D26" s="5" t="s">
        <v>25</v>
      </c>
      <c r="E26" s="6" t="s">
        <v>86</v>
      </c>
      <c r="F26" s="8">
        <v>42685</v>
      </c>
    </row>
    <row r="27" spans="1:6" x14ac:dyDescent="0.3">
      <c r="A27" s="5" t="str">
        <f>"0479865"</f>
        <v>0479865</v>
      </c>
      <c r="B27" s="6" t="s">
        <v>278</v>
      </c>
      <c r="C27" s="26" t="str">
        <f>"186360050050"</f>
        <v>186360050050</v>
      </c>
      <c r="D27" s="5" t="s">
        <v>25</v>
      </c>
      <c r="E27" s="6" t="s">
        <v>86</v>
      </c>
      <c r="F27" s="8">
        <v>42682</v>
      </c>
    </row>
    <row r="28" spans="1:6" x14ac:dyDescent="0.3">
      <c r="A28" s="5" t="str">
        <f>"0467001"</f>
        <v>0467001</v>
      </c>
      <c r="B28" s="6" t="s">
        <v>123</v>
      </c>
      <c r="C28" s="26" t="str">
        <f>"852500001465"</f>
        <v>852500001465</v>
      </c>
      <c r="D28" s="5" t="s">
        <v>124</v>
      </c>
      <c r="E28" s="6" t="s">
        <v>86</v>
      </c>
      <c r="F28" s="8">
        <v>42682</v>
      </c>
    </row>
    <row r="29" spans="1:6" x14ac:dyDescent="0.3">
      <c r="A29" s="5" t="str">
        <f>"0458596"</f>
        <v>0458596</v>
      </c>
      <c r="B29" s="6" t="s">
        <v>279</v>
      </c>
      <c r="C29" s="26" t="str">
        <f>"186360000611"</f>
        <v>186360000611</v>
      </c>
      <c r="D29" s="5" t="s">
        <v>37</v>
      </c>
      <c r="E29" s="6" t="s">
        <v>280</v>
      </c>
      <c r="F29" s="8">
        <v>42682</v>
      </c>
    </row>
    <row r="30" spans="1:6" x14ac:dyDescent="0.3">
      <c r="A30" s="5" t="str">
        <f>"0438135"</f>
        <v>0438135</v>
      </c>
      <c r="B30" s="6" t="s">
        <v>271</v>
      </c>
      <c r="C30" s="26" t="str">
        <f>"627005034665"</f>
        <v>627005034665</v>
      </c>
      <c r="D30" s="5" t="s">
        <v>98</v>
      </c>
      <c r="E30" s="6" t="s">
        <v>86</v>
      </c>
      <c r="F30" s="8">
        <v>42677</v>
      </c>
    </row>
    <row r="31" spans="1:6" x14ac:dyDescent="0.3">
      <c r="A31" s="5" t="str">
        <f>"0456376"</f>
        <v>0456376</v>
      </c>
      <c r="B31" s="6" t="s">
        <v>272</v>
      </c>
      <c r="C31" s="26" t="str">
        <f>"627005034566"</f>
        <v>627005034566</v>
      </c>
      <c r="D31" s="5" t="s">
        <v>98</v>
      </c>
      <c r="E31" s="6" t="s">
        <v>86</v>
      </c>
      <c r="F31" s="8">
        <v>42677</v>
      </c>
    </row>
    <row r="32" spans="1:6" x14ac:dyDescent="0.3">
      <c r="A32" s="5" t="str">
        <f>"0218966"</f>
        <v>0218966</v>
      </c>
      <c r="B32" s="6" t="s">
        <v>273</v>
      </c>
      <c r="C32" s="26" t="str">
        <f>"627005034764"</f>
        <v>627005034764</v>
      </c>
      <c r="D32" s="5" t="s">
        <v>98</v>
      </c>
      <c r="E32" s="6" t="s">
        <v>86</v>
      </c>
      <c r="F32" s="8">
        <v>42677</v>
      </c>
    </row>
    <row r="33" spans="1:6" x14ac:dyDescent="0.3">
      <c r="A33" s="5" t="str">
        <f>"0461087"</f>
        <v>0461087</v>
      </c>
      <c r="B33" s="6" t="s">
        <v>274</v>
      </c>
      <c r="C33" s="26" t="str">
        <f>"627005044114"</f>
        <v>627005044114</v>
      </c>
      <c r="D33" s="5" t="s">
        <v>25</v>
      </c>
      <c r="E33" s="6" t="s">
        <v>86</v>
      </c>
      <c r="F33" s="8">
        <v>42677</v>
      </c>
    </row>
    <row r="34" spans="1:6" x14ac:dyDescent="0.3">
      <c r="A34" s="5" t="str">
        <f>"0460576"</f>
        <v>0460576</v>
      </c>
      <c r="B34" s="6" t="s">
        <v>275</v>
      </c>
      <c r="C34" s="26" t="str">
        <f>"627005096250"</f>
        <v>627005096250</v>
      </c>
      <c r="D34" s="5" t="s">
        <v>276</v>
      </c>
      <c r="E34" s="6" t="s">
        <v>86</v>
      </c>
      <c r="F34" s="8">
        <v>42677</v>
      </c>
    </row>
    <row r="35" spans="1:6" x14ac:dyDescent="0.3">
      <c r="A35" s="5" t="str">
        <f>"0397661"</f>
        <v>0397661</v>
      </c>
      <c r="B35" s="6" t="s">
        <v>277</v>
      </c>
      <c r="C35" s="26" t="str">
        <f>"627005026011"</f>
        <v>627005026011</v>
      </c>
      <c r="D35" s="5" t="s">
        <v>276</v>
      </c>
      <c r="E35" s="6" t="s">
        <v>86</v>
      </c>
      <c r="F35" s="8">
        <v>42677</v>
      </c>
    </row>
    <row r="36" spans="1:6" x14ac:dyDescent="0.3">
      <c r="A36" s="5" t="str">
        <f>"0328013"</f>
        <v>0328013</v>
      </c>
      <c r="B36" s="6" t="s">
        <v>258</v>
      </c>
      <c r="C36" s="26" t="str">
        <f>"853698001169"</f>
        <v>853698001169</v>
      </c>
      <c r="D36" s="5" t="s">
        <v>202</v>
      </c>
      <c r="E36" s="6" t="s">
        <v>262</v>
      </c>
      <c r="F36" s="8" t="s">
        <v>256</v>
      </c>
    </row>
    <row r="37" spans="1:6" x14ac:dyDescent="0.3">
      <c r="A37" s="5" t="str">
        <f>"0361873"</f>
        <v>0361873</v>
      </c>
      <c r="B37" s="6" t="s">
        <v>259</v>
      </c>
      <c r="C37" s="26" t="str">
        <f>"853698001060"</f>
        <v>853698001060</v>
      </c>
      <c r="D37" s="5" t="s">
        <v>202</v>
      </c>
      <c r="E37" s="6" t="s">
        <v>262</v>
      </c>
      <c r="F37" s="8" t="s">
        <v>256</v>
      </c>
    </row>
    <row r="38" spans="1:6" x14ac:dyDescent="0.3">
      <c r="A38" s="5" t="str">
        <f>"0453167"</f>
        <v>0453167</v>
      </c>
      <c r="B38" s="6" t="s">
        <v>260</v>
      </c>
      <c r="C38" s="26" t="str">
        <f>"853698001053"</f>
        <v>853698001053</v>
      </c>
      <c r="D38" s="5" t="s">
        <v>202</v>
      </c>
      <c r="E38" s="6" t="s">
        <v>262</v>
      </c>
      <c r="F38" s="8" t="s">
        <v>256</v>
      </c>
    </row>
    <row r="39" spans="1:6" x14ac:dyDescent="0.3">
      <c r="A39" s="5" t="str">
        <f>"0382820"</f>
        <v>0382820</v>
      </c>
      <c r="B39" s="6" t="s">
        <v>254</v>
      </c>
      <c r="C39" s="26" t="str">
        <f>"400003828203"</f>
        <v>400003828203</v>
      </c>
      <c r="D39" s="5" t="s">
        <v>202</v>
      </c>
      <c r="E39" s="6" t="s">
        <v>255</v>
      </c>
      <c r="F39" s="8" t="s">
        <v>256</v>
      </c>
    </row>
    <row r="40" spans="1:6" x14ac:dyDescent="0.3">
      <c r="A40" s="5" t="str">
        <f>"0444018"</f>
        <v>0444018</v>
      </c>
      <c r="B40" s="6" t="s">
        <v>268</v>
      </c>
      <c r="C40" s="26" t="str">
        <f>"627843405108"</f>
        <v>627843405108</v>
      </c>
      <c r="D40" s="5" t="s">
        <v>269</v>
      </c>
      <c r="E40" s="6" t="s">
        <v>270</v>
      </c>
      <c r="F40" s="8">
        <v>42675</v>
      </c>
    </row>
    <row r="41" spans="1:6" ht="27.95" x14ac:dyDescent="0.3">
      <c r="A41" s="5" t="str">
        <f>"0356725"</f>
        <v>0356725</v>
      </c>
      <c r="B41" s="6" t="s">
        <v>281</v>
      </c>
      <c r="C41" s="26">
        <v>812485010814</v>
      </c>
      <c r="D41" s="5" t="s">
        <v>202</v>
      </c>
      <c r="E41" s="48" t="s">
        <v>282</v>
      </c>
      <c r="F41" s="49">
        <v>42670</v>
      </c>
    </row>
    <row r="42" spans="1:6" x14ac:dyDescent="0.3">
      <c r="A42" s="5" t="str">
        <f>"0420216"</f>
        <v>0420216</v>
      </c>
      <c r="B42" s="6" t="s">
        <v>55</v>
      </c>
      <c r="C42" s="26" t="str">
        <f>"779446200625"</f>
        <v>779446200625</v>
      </c>
      <c r="D42" s="5" t="s">
        <v>25</v>
      </c>
      <c r="E42" s="6" t="s">
        <v>86</v>
      </c>
      <c r="F42" s="8">
        <v>42670</v>
      </c>
    </row>
    <row r="43" spans="1:6" x14ac:dyDescent="0.3">
      <c r="A43" s="5" t="str">
        <f>"0426577"</f>
        <v>0426577</v>
      </c>
      <c r="B43" s="6" t="s">
        <v>266</v>
      </c>
      <c r="C43" s="26" t="str">
        <f>"840712001243"</f>
        <v>840712001243</v>
      </c>
      <c r="D43" s="5" t="s">
        <v>202</v>
      </c>
      <c r="E43" s="6" t="s">
        <v>267</v>
      </c>
      <c r="F43" s="8">
        <v>42668</v>
      </c>
    </row>
    <row r="44" spans="1:6" x14ac:dyDescent="0.3">
      <c r="A44" s="5" t="str">
        <f>"0256636"</f>
        <v>0256636</v>
      </c>
      <c r="B44" s="6" t="s">
        <v>264</v>
      </c>
      <c r="C44" s="26" t="str">
        <f>"624327008312"</f>
        <v>624327008312</v>
      </c>
      <c r="D44" s="5" t="s">
        <v>48</v>
      </c>
      <c r="E44" s="6" t="s">
        <v>5</v>
      </c>
      <c r="F44" s="8">
        <v>42668</v>
      </c>
    </row>
    <row r="45" spans="1:6" x14ac:dyDescent="0.3">
      <c r="A45" s="5" t="str">
        <f>"0448902"</f>
        <v>0448902</v>
      </c>
      <c r="B45" s="6" t="s">
        <v>265</v>
      </c>
      <c r="C45" s="26" t="str">
        <f>"624327008015"</f>
        <v>624327008015</v>
      </c>
      <c r="D45" s="5" t="s">
        <v>48</v>
      </c>
      <c r="E45" s="6" t="s">
        <v>5</v>
      </c>
      <c r="F45" s="8">
        <v>42668</v>
      </c>
    </row>
    <row r="46" spans="1:6" x14ac:dyDescent="0.3">
      <c r="A46" s="5" t="str">
        <f>"0461061"</f>
        <v>0461061</v>
      </c>
      <c r="B46" s="6" t="s">
        <v>263</v>
      </c>
      <c r="C46" s="26" t="str">
        <f>"056327010574"</f>
        <v>056327010574</v>
      </c>
      <c r="D46" s="5" t="str">
        <f>"0461061"</f>
        <v>0461061</v>
      </c>
      <c r="E46" s="6" t="s">
        <v>5</v>
      </c>
      <c r="F46" s="8">
        <v>42664</v>
      </c>
    </row>
    <row r="47" spans="1:6" ht="27.95" x14ac:dyDescent="0.3">
      <c r="A47" s="5" t="str">
        <f>"0296533"</f>
        <v>0296533</v>
      </c>
      <c r="B47" s="6" t="s">
        <v>257</v>
      </c>
      <c r="C47" s="26" t="str">
        <f>"853698001084"</f>
        <v>853698001084</v>
      </c>
      <c r="D47" s="5" t="s">
        <v>202</v>
      </c>
      <c r="E47" s="9" t="s">
        <v>261</v>
      </c>
      <c r="F47" s="8">
        <v>42664</v>
      </c>
    </row>
    <row r="48" spans="1:6" x14ac:dyDescent="0.3">
      <c r="A48" s="5" t="str">
        <f>"0457663"</f>
        <v>0457663</v>
      </c>
      <c r="B48" s="6" t="s">
        <v>253</v>
      </c>
      <c r="C48" s="26" t="str">
        <f>"5025898000371"</f>
        <v>5025898000371</v>
      </c>
      <c r="D48" s="5" t="s">
        <v>48</v>
      </c>
      <c r="E48" s="6" t="s">
        <v>86</v>
      </c>
      <c r="F48" s="8">
        <v>42663</v>
      </c>
    </row>
    <row r="49" spans="1:6" x14ac:dyDescent="0.3">
      <c r="A49" s="5" t="str">
        <f>"0454975"</f>
        <v>0454975</v>
      </c>
      <c r="B49" s="6" t="s">
        <v>252</v>
      </c>
      <c r="C49" s="26" t="str">
        <f>"5740700988127"</f>
        <v>5740700988127</v>
      </c>
      <c r="D49" s="5" t="s">
        <v>48</v>
      </c>
      <c r="E49" s="6" t="s">
        <v>86</v>
      </c>
      <c r="F49" s="8">
        <v>42663</v>
      </c>
    </row>
    <row r="50" spans="1:6" s="35" customFormat="1" x14ac:dyDescent="0.3">
      <c r="A50" s="5" t="str">
        <f>"0480012"</f>
        <v>0480012</v>
      </c>
      <c r="B50" s="6" t="s">
        <v>251</v>
      </c>
      <c r="C50" s="26" t="str">
        <f>"812339000374"</f>
        <v>812339000374</v>
      </c>
      <c r="D50" s="5" t="s">
        <v>25</v>
      </c>
      <c r="E50" s="6" t="s">
        <v>86</v>
      </c>
      <c r="F50" s="8">
        <v>42655</v>
      </c>
    </row>
    <row r="51" spans="1:6" s="35" customFormat="1" x14ac:dyDescent="0.3">
      <c r="A51" s="5" t="str">
        <f>"0458604"</f>
        <v>0458604</v>
      </c>
      <c r="B51" s="6" t="s">
        <v>194</v>
      </c>
      <c r="C51" s="26" t="str">
        <f>"612554008007"</f>
        <v>612554008007</v>
      </c>
      <c r="D51" s="5" t="s">
        <v>25</v>
      </c>
      <c r="E51" s="6" t="s">
        <v>195</v>
      </c>
      <c r="F51" s="8">
        <v>42653</v>
      </c>
    </row>
    <row r="52" spans="1:6" s="35" customFormat="1" x14ac:dyDescent="0.3">
      <c r="A52" s="5">
        <v>389098</v>
      </c>
      <c r="B52" s="6" t="s">
        <v>239</v>
      </c>
      <c r="C52" s="26">
        <v>612554001008</v>
      </c>
      <c r="D52" s="5" t="s">
        <v>25</v>
      </c>
      <c r="E52" s="6" t="s">
        <v>195</v>
      </c>
      <c r="F52" s="8">
        <v>42653</v>
      </c>
    </row>
    <row r="53" spans="1:6" x14ac:dyDescent="0.3">
      <c r="A53" s="5">
        <v>345280</v>
      </c>
      <c r="B53" s="6" t="s">
        <v>240</v>
      </c>
      <c r="C53" s="26">
        <v>621433999046</v>
      </c>
      <c r="D53" s="5" t="s">
        <v>25</v>
      </c>
      <c r="E53" s="6" t="s">
        <v>195</v>
      </c>
      <c r="F53" s="8">
        <v>42653</v>
      </c>
    </row>
    <row r="54" spans="1:6" ht="27.95" x14ac:dyDescent="0.3">
      <c r="A54" s="33">
        <v>449926</v>
      </c>
      <c r="B54" s="42" t="s">
        <v>246</v>
      </c>
      <c r="C54" s="34" t="s">
        <v>247</v>
      </c>
      <c r="D54" s="43" t="s">
        <v>43</v>
      </c>
      <c r="E54" s="9" t="s">
        <v>245</v>
      </c>
      <c r="F54" s="47">
        <v>42651</v>
      </c>
    </row>
    <row r="55" spans="1:6" x14ac:dyDescent="0.3">
      <c r="A55" s="33">
        <v>460337</v>
      </c>
      <c r="B55" s="42" t="s">
        <v>243</v>
      </c>
      <c r="C55" s="34" t="s">
        <v>244</v>
      </c>
      <c r="D55" s="5" t="s">
        <v>25</v>
      </c>
      <c r="E55" s="6" t="s">
        <v>242</v>
      </c>
      <c r="F55" s="47">
        <v>42651</v>
      </c>
    </row>
    <row r="56" spans="1:6" x14ac:dyDescent="0.3">
      <c r="A56" s="33">
        <v>306944</v>
      </c>
      <c r="B56" s="42" t="s">
        <v>248</v>
      </c>
      <c r="C56" s="34" t="s">
        <v>249</v>
      </c>
      <c r="D56" s="43" t="s">
        <v>25</v>
      </c>
      <c r="E56" s="21" t="s">
        <v>250</v>
      </c>
      <c r="F56" s="47">
        <v>42650</v>
      </c>
    </row>
    <row r="57" spans="1:6" x14ac:dyDescent="0.3">
      <c r="A57" s="5">
        <v>65011</v>
      </c>
      <c r="B57" s="6" t="s">
        <v>21</v>
      </c>
      <c r="C57" s="26">
        <v>621433005044</v>
      </c>
      <c r="D57" s="5" t="s">
        <v>25</v>
      </c>
      <c r="E57" s="6" t="s">
        <v>211</v>
      </c>
      <c r="F57" s="8">
        <v>42646</v>
      </c>
    </row>
    <row r="58" spans="1:6" x14ac:dyDescent="0.3">
      <c r="A58" s="5">
        <v>190439</v>
      </c>
      <c r="B58" s="6" t="s">
        <v>208</v>
      </c>
      <c r="C58" s="26">
        <v>621433006041</v>
      </c>
      <c r="D58" s="5" t="s">
        <v>25</v>
      </c>
      <c r="E58" s="6" t="s">
        <v>211</v>
      </c>
      <c r="F58" s="8">
        <v>42646</v>
      </c>
    </row>
    <row r="59" spans="1:6" x14ac:dyDescent="0.3">
      <c r="A59" s="5">
        <v>462739</v>
      </c>
      <c r="B59" s="6" t="s">
        <v>209</v>
      </c>
      <c r="C59" s="26">
        <v>621433092044</v>
      </c>
      <c r="D59" s="5" t="s">
        <v>25</v>
      </c>
      <c r="E59" s="6" t="s">
        <v>211</v>
      </c>
      <c r="F59" s="8">
        <v>42646</v>
      </c>
    </row>
    <row r="60" spans="1:6" x14ac:dyDescent="0.3">
      <c r="A60" s="5">
        <v>479790</v>
      </c>
      <c r="B60" s="6" t="s">
        <v>210</v>
      </c>
      <c r="C60" s="26">
        <v>621433005099</v>
      </c>
      <c r="D60" s="5" t="s">
        <v>37</v>
      </c>
      <c r="E60" s="6" t="s">
        <v>211</v>
      </c>
      <c r="F60" s="8">
        <v>42646</v>
      </c>
    </row>
    <row r="61" spans="1:6" x14ac:dyDescent="0.3">
      <c r="A61" s="5" t="str">
        <f>"479030"</f>
        <v>479030</v>
      </c>
      <c r="B61" s="6" t="s">
        <v>241</v>
      </c>
      <c r="C61" s="26" t="str">
        <f>"856217000193"</f>
        <v>856217000193</v>
      </c>
      <c r="D61" s="5" t="s">
        <v>25</v>
      </c>
      <c r="E61" s="6" t="s">
        <v>86</v>
      </c>
      <c r="F61" s="8">
        <v>42642</v>
      </c>
    </row>
    <row r="62" spans="1:6" x14ac:dyDescent="0.3">
      <c r="A62" s="5">
        <v>458315</v>
      </c>
      <c r="B62" s="6" t="s">
        <v>238</v>
      </c>
      <c r="C62" s="26">
        <v>13964841725</v>
      </c>
      <c r="D62" s="5" t="s">
        <v>76</v>
      </c>
      <c r="E62" s="6" t="s">
        <v>86</v>
      </c>
      <c r="F62" s="8">
        <v>42641</v>
      </c>
    </row>
    <row r="63" spans="1:6" ht="27.95" x14ac:dyDescent="0.3">
      <c r="A63" s="5">
        <v>16329</v>
      </c>
      <c r="B63" s="6" t="s">
        <v>212</v>
      </c>
      <c r="C63" s="26">
        <v>5010549303673</v>
      </c>
      <c r="D63" s="5" t="s">
        <v>48</v>
      </c>
      <c r="E63" s="11" t="s">
        <v>213</v>
      </c>
      <c r="F63" s="8">
        <v>42640</v>
      </c>
    </row>
    <row r="64" spans="1:6" x14ac:dyDescent="0.3">
      <c r="A64" s="5">
        <v>145912</v>
      </c>
      <c r="B64" s="6" t="s">
        <v>214</v>
      </c>
      <c r="C64" s="26">
        <v>70310000885</v>
      </c>
      <c r="D64" s="5" t="s">
        <v>37</v>
      </c>
      <c r="E64" s="21" t="s">
        <v>215</v>
      </c>
      <c r="F64" s="8">
        <v>42640</v>
      </c>
    </row>
    <row r="65" spans="1:6" x14ac:dyDescent="0.3">
      <c r="A65" s="5">
        <v>263327</v>
      </c>
      <c r="B65" s="6" t="s">
        <v>216</v>
      </c>
      <c r="C65" s="26">
        <v>620707311003</v>
      </c>
      <c r="D65" s="5" t="s">
        <v>25</v>
      </c>
      <c r="E65" s="21" t="s">
        <v>217</v>
      </c>
      <c r="F65" s="8">
        <v>42640</v>
      </c>
    </row>
    <row r="66" spans="1:6" x14ac:dyDescent="0.3">
      <c r="A66" s="5">
        <v>322032</v>
      </c>
      <c r="B66" s="6" t="s">
        <v>218</v>
      </c>
      <c r="C66" s="26">
        <v>5411616000059</v>
      </c>
      <c r="D66" s="5" t="s">
        <v>48</v>
      </c>
      <c r="E66" s="21" t="s">
        <v>219</v>
      </c>
      <c r="F66" s="8">
        <v>42640</v>
      </c>
    </row>
    <row r="67" spans="1:6" x14ac:dyDescent="0.3">
      <c r="A67" s="5">
        <v>416248</v>
      </c>
      <c r="B67" s="6" t="s">
        <v>220</v>
      </c>
      <c r="C67" s="26">
        <v>627005804015</v>
      </c>
      <c r="D67" s="5" t="s">
        <v>25</v>
      </c>
      <c r="E67" s="21" t="s">
        <v>221</v>
      </c>
      <c r="F67" s="8">
        <v>42640</v>
      </c>
    </row>
    <row r="68" spans="1:6" s="35" customFormat="1" x14ac:dyDescent="0.3">
      <c r="A68" s="5">
        <v>419127</v>
      </c>
      <c r="B68" s="6" t="s">
        <v>222</v>
      </c>
      <c r="C68" s="26">
        <v>627005524012</v>
      </c>
      <c r="D68" s="5" t="s">
        <v>25</v>
      </c>
      <c r="E68" s="21" t="s">
        <v>223</v>
      </c>
      <c r="F68" s="8">
        <v>42640</v>
      </c>
    </row>
    <row r="69" spans="1:6" ht="27.95" x14ac:dyDescent="0.3">
      <c r="A69" s="5">
        <v>435743</v>
      </c>
      <c r="B69" s="6" t="s">
        <v>224</v>
      </c>
      <c r="C69" s="26">
        <v>5031323001103</v>
      </c>
      <c r="D69" s="5" t="s">
        <v>48</v>
      </c>
      <c r="E69" s="11" t="s">
        <v>225</v>
      </c>
      <c r="F69" s="8">
        <v>42640</v>
      </c>
    </row>
    <row r="70" spans="1:6" x14ac:dyDescent="0.3">
      <c r="A70" s="5">
        <v>480293</v>
      </c>
      <c r="B70" s="6" t="s">
        <v>226</v>
      </c>
      <c r="C70" s="26">
        <v>839587000611</v>
      </c>
      <c r="D70" s="5" t="s">
        <v>48</v>
      </c>
      <c r="E70" s="21" t="s">
        <v>227</v>
      </c>
      <c r="F70" s="8">
        <v>42640</v>
      </c>
    </row>
    <row r="71" spans="1:6" x14ac:dyDescent="0.3">
      <c r="A71" s="5">
        <v>515437</v>
      </c>
      <c r="B71" s="6" t="s">
        <v>228</v>
      </c>
      <c r="C71" s="26">
        <v>86428260332</v>
      </c>
      <c r="D71" s="5" t="s">
        <v>29</v>
      </c>
      <c r="E71" s="21" t="s">
        <v>229</v>
      </c>
      <c r="F71" s="8">
        <v>42640</v>
      </c>
    </row>
    <row r="72" spans="1:6" ht="27.95" x14ac:dyDescent="0.3">
      <c r="A72" s="5">
        <v>563601</v>
      </c>
      <c r="B72" s="6" t="s">
        <v>230</v>
      </c>
      <c r="C72" s="26">
        <v>5023887000586</v>
      </c>
      <c r="D72" s="5" t="s">
        <v>127</v>
      </c>
      <c r="E72" s="11" t="s">
        <v>231</v>
      </c>
      <c r="F72" s="8">
        <v>42640</v>
      </c>
    </row>
    <row r="73" spans="1:6" ht="27.95" x14ac:dyDescent="0.3">
      <c r="A73" s="5">
        <v>610642</v>
      </c>
      <c r="B73" s="6" t="s">
        <v>232</v>
      </c>
      <c r="C73" s="26">
        <v>605800500080</v>
      </c>
      <c r="D73" s="5" t="s">
        <v>37</v>
      </c>
      <c r="E73" s="11" t="s">
        <v>233</v>
      </c>
      <c r="F73" s="8">
        <v>42640</v>
      </c>
    </row>
    <row r="74" spans="1:6" x14ac:dyDescent="0.3">
      <c r="A74" s="5">
        <v>637744</v>
      </c>
      <c r="B74" s="6" t="s">
        <v>234</v>
      </c>
      <c r="C74" s="26">
        <v>627005060060</v>
      </c>
      <c r="D74" s="5" t="s">
        <v>106</v>
      </c>
      <c r="E74" s="21" t="s">
        <v>235</v>
      </c>
      <c r="F74" s="8">
        <v>42640</v>
      </c>
    </row>
    <row r="75" spans="1:6" x14ac:dyDescent="0.3">
      <c r="A75" s="5">
        <v>927392</v>
      </c>
      <c r="B75" s="6" t="s">
        <v>236</v>
      </c>
      <c r="C75" s="26">
        <v>772285021000</v>
      </c>
      <c r="D75" s="5" t="s">
        <v>106</v>
      </c>
      <c r="E75" s="21" t="s">
        <v>237</v>
      </c>
      <c r="F75" s="8">
        <v>42640</v>
      </c>
    </row>
    <row r="76" spans="1:6" x14ac:dyDescent="0.3">
      <c r="A76" s="5" t="str">
        <f>"0128348"</f>
        <v>0128348</v>
      </c>
      <c r="B76" s="6" t="s">
        <v>28</v>
      </c>
      <c r="C76" s="26" t="str">
        <f>"01817829"</f>
        <v>01817829</v>
      </c>
      <c r="D76" s="5" t="s">
        <v>29</v>
      </c>
      <c r="E76" s="6" t="s">
        <v>5</v>
      </c>
      <c r="F76" s="8">
        <v>42633</v>
      </c>
    </row>
    <row r="77" spans="1:6" x14ac:dyDescent="0.3">
      <c r="A77" s="5" t="str">
        <f>"0076497"</f>
        <v>0076497</v>
      </c>
      <c r="B77" s="6" t="s">
        <v>205</v>
      </c>
      <c r="C77" s="26" t="str">
        <f>"087692300533"</f>
        <v>087692300533</v>
      </c>
      <c r="D77" s="5" t="s">
        <v>37</v>
      </c>
      <c r="E77" s="6" t="s">
        <v>86</v>
      </c>
      <c r="F77" s="8">
        <v>42633</v>
      </c>
    </row>
    <row r="78" spans="1:6" s="35" customFormat="1" x14ac:dyDescent="0.3">
      <c r="A78" s="5" t="str">
        <f>"0207084"</f>
        <v>0207084</v>
      </c>
      <c r="B78" s="6" t="s">
        <v>206</v>
      </c>
      <c r="C78" s="26" t="str">
        <f>"087692891024"</f>
        <v>087692891024</v>
      </c>
      <c r="D78" s="5" t="s">
        <v>37</v>
      </c>
      <c r="E78" s="6" t="s">
        <v>207</v>
      </c>
      <c r="F78" s="8">
        <v>42633</v>
      </c>
    </row>
    <row r="79" spans="1:6" s="35" customFormat="1" x14ac:dyDescent="0.3">
      <c r="A79" s="5" t="str">
        <f>"0407817"</f>
        <v>0407817</v>
      </c>
      <c r="B79" s="6" t="s">
        <v>204</v>
      </c>
      <c r="C79" s="26" t="str">
        <f>"056327009493"</f>
        <v>056327009493</v>
      </c>
      <c r="D79" s="5" t="s">
        <v>124</v>
      </c>
      <c r="E79" s="6" t="s">
        <v>5</v>
      </c>
      <c r="F79" s="8">
        <v>42629</v>
      </c>
    </row>
    <row r="80" spans="1:6" x14ac:dyDescent="0.3">
      <c r="A80" s="5" t="str">
        <f>"0365718"</f>
        <v>0365718</v>
      </c>
      <c r="B80" s="6" t="s">
        <v>201</v>
      </c>
      <c r="C80" s="26" t="str">
        <f>"085725108149"</f>
        <v>085725108149</v>
      </c>
      <c r="D80" s="5" t="s">
        <v>202</v>
      </c>
      <c r="E80" s="6" t="s">
        <v>203</v>
      </c>
      <c r="F80" s="8">
        <v>42628</v>
      </c>
    </row>
    <row r="81" spans="1:6" x14ac:dyDescent="0.3">
      <c r="A81" s="5" t="str">
        <f>"0429738"</f>
        <v>0429738</v>
      </c>
      <c r="B81" s="6" t="s">
        <v>200</v>
      </c>
      <c r="C81" s="26" t="str">
        <f>"874414000112"</f>
        <v>874414000112</v>
      </c>
      <c r="D81" s="5" t="s">
        <v>25</v>
      </c>
      <c r="E81" s="6" t="s">
        <v>86</v>
      </c>
      <c r="F81" s="8">
        <v>42628</v>
      </c>
    </row>
    <row r="82" spans="1:6" s="39" customFormat="1" x14ac:dyDescent="0.3">
      <c r="A82" s="5" t="str">
        <f>"0419671"</f>
        <v>0419671</v>
      </c>
      <c r="B82" s="6" t="s">
        <v>199</v>
      </c>
      <c r="C82" s="26" t="str">
        <f>"628669010033"</f>
        <v>628669010033</v>
      </c>
      <c r="D82" s="5" t="s">
        <v>25</v>
      </c>
      <c r="E82" s="6" t="s">
        <v>86</v>
      </c>
      <c r="F82" s="8">
        <v>42622</v>
      </c>
    </row>
    <row r="83" spans="1:6" s="39" customFormat="1" x14ac:dyDescent="0.3">
      <c r="A83" s="5" t="str">
        <f>"0467100"</f>
        <v>0467100</v>
      </c>
      <c r="B83" s="6" t="s">
        <v>198</v>
      </c>
      <c r="C83" s="26" t="str">
        <f>"626824000202"</f>
        <v>626824000202</v>
      </c>
      <c r="D83" s="5" t="s">
        <v>124</v>
      </c>
      <c r="E83" s="6" t="s">
        <v>122</v>
      </c>
      <c r="F83" s="8">
        <v>42621</v>
      </c>
    </row>
    <row r="84" spans="1:6" ht="41.95" x14ac:dyDescent="0.3">
      <c r="A84" s="33">
        <v>415364</v>
      </c>
      <c r="B84" s="42" t="s">
        <v>186</v>
      </c>
      <c r="C84" s="44">
        <v>839587000611</v>
      </c>
      <c r="D84" s="43" t="s">
        <v>6</v>
      </c>
      <c r="E84" s="41" t="s">
        <v>197</v>
      </c>
      <c r="F84" s="38">
        <v>42620</v>
      </c>
    </row>
    <row r="85" spans="1:6" x14ac:dyDescent="0.3">
      <c r="A85" s="5" t="str">
        <f>"0418574"</f>
        <v>0418574</v>
      </c>
      <c r="B85" s="6" t="s">
        <v>196</v>
      </c>
      <c r="C85" s="26" t="str">
        <f>"626824000158"</f>
        <v>626824000158</v>
      </c>
      <c r="D85" s="5" t="s">
        <v>25</v>
      </c>
      <c r="E85" s="6" t="s">
        <v>122</v>
      </c>
      <c r="F85" s="8">
        <v>42620</v>
      </c>
    </row>
    <row r="86" spans="1:6" ht="27.95" x14ac:dyDescent="0.3">
      <c r="A86" s="36" t="str">
        <f>"0470757"</f>
        <v>0470757</v>
      </c>
      <c r="B86" s="9" t="s">
        <v>178</v>
      </c>
      <c r="C86" s="37" t="str">
        <f>"5011885002190"</f>
        <v>5011885002190</v>
      </c>
      <c r="D86" s="36" t="s">
        <v>48</v>
      </c>
      <c r="E86" s="9" t="s">
        <v>182</v>
      </c>
      <c r="F86" s="38">
        <v>42611</v>
      </c>
    </row>
    <row r="87" spans="1:6" ht="27.95" x14ac:dyDescent="0.3">
      <c r="A87" s="36" t="str">
        <f>"0470781"</f>
        <v>0470781</v>
      </c>
      <c r="B87" s="9" t="s">
        <v>179</v>
      </c>
      <c r="C87" s="37" t="str">
        <f>"5011885009786"</f>
        <v>5011885009786</v>
      </c>
      <c r="D87" s="36" t="s">
        <v>48</v>
      </c>
      <c r="E87" s="9" t="s">
        <v>180</v>
      </c>
      <c r="F87" s="38">
        <v>42611</v>
      </c>
    </row>
    <row r="88" spans="1:6" x14ac:dyDescent="0.3">
      <c r="A88" s="5" t="str">
        <f>"0247189"</f>
        <v>0247189</v>
      </c>
      <c r="B88" s="6" t="s">
        <v>192</v>
      </c>
      <c r="C88" s="26" t="str">
        <f>"874414000006"</f>
        <v>874414000006</v>
      </c>
      <c r="D88" s="5" t="s">
        <v>37</v>
      </c>
      <c r="E88" s="6" t="s">
        <v>5</v>
      </c>
      <c r="F88" s="8">
        <v>42609</v>
      </c>
    </row>
    <row r="89" spans="1:6" x14ac:dyDescent="0.3">
      <c r="A89" s="5" t="str">
        <f>"0374157"</f>
        <v>0374157</v>
      </c>
      <c r="B89" s="6" t="s">
        <v>193</v>
      </c>
      <c r="C89" s="26" t="str">
        <f>"874414000037"</f>
        <v>874414000037</v>
      </c>
      <c r="D89" s="5" t="s">
        <v>37</v>
      </c>
      <c r="E89" s="6" t="s">
        <v>5</v>
      </c>
      <c r="F89" s="8">
        <v>42609</v>
      </c>
    </row>
    <row r="90" spans="1:6" x14ac:dyDescent="0.3">
      <c r="A90" s="5" t="str">
        <f>"0457903"</f>
        <v>0457903</v>
      </c>
      <c r="B90" s="6" t="s">
        <v>191</v>
      </c>
      <c r="C90" s="26" t="str">
        <f>"013964841794"</f>
        <v>013964841794</v>
      </c>
      <c r="D90" s="5" t="s">
        <v>76</v>
      </c>
      <c r="E90" s="6" t="s">
        <v>5</v>
      </c>
      <c r="F90" s="8">
        <v>42608</v>
      </c>
    </row>
    <row r="91" spans="1:6" x14ac:dyDescent="0.3">
      <c r="A91" s="5" t="str">
        <f>"0324236"</f>
        <v>0324236</v>
      </c>
      <c r="B91" s="6" t="s">
        <v>190</v>
      </c>
      <c r="C91" s="26" t="str">
        <f>"776029702941"</f>
        <v>776029702941</v>
      </c>
      <c r="D91" s="5" t="s">
        <v>25</v>
      </c>
      <c r="E91" s="6" t="s">
        <v>5</v>
      </c>
      <c r="F91" s="8">
        <v>42606</v>
      </c>
    </row>
    <row r="92" spans="1:6" x14ac:dyDescent="0.3">
      <c r="A92" s="5" t="str">
        <f>"0616896"</f>
        <v>0616896</v>
      </c>
      <c r="B92" s="6" t="s">
        <v>189</v>
      </c>
      <c r="C92" s="26" t="str">
        <f>"786150000618"</f>
        <v>786150000618</v>
      </c>
      <c r="D92" s="5" t="s">
        <v>29</v>
      </c>
      <c r="E92" s="6" t="s">
        <v>5</v>
      </c>
      <c r="F92" s="8">
        <v>42600</v>
      </c>
    </row>
    <row r="93" spans="1:6" x14ac:dyDescent="0.3">
      <c r="A93" s="5" t="str">
        <f>"0467019"</f>
        <v>0467019</v>
      </c>
      <c r="B93" s="6" t="s">
        <v>188</v>
      </c>
      <c r="C93" s="26" t="str">
        <f>"625640135532"</f>
        <v>625640135532</v>
      </c>
      <c r="D93" s="5" t="s">
        <v>25</v>
      </c>
      <c r="E93" s="6" t="s">
        <v>86</v>
      </c>
      <c r="F93" s="8">
        <v>42599</v>
      </c>
    </row>
    <row r="94" spans="1:6" ht="27.95" x14ac:dyDescent="0.3">
      <c r="A94" s="33">
        <v>415364</v>
      </c>
      <c r="B94" s="42" t="s">
        <v>186</v>
      </c>
      <c r="C94" s="44">
        <v>839587000611</v>
      </c>
      <c r="D94" s="43" t="s">
        <v>6</v>
      </c>
      <c r="E94" s="41" t="s">
        <v>187</v>
      </c>
      <c r="F94" s="38">
        <v>42595</v>
      </c>
    </row>
    <row r="95" spans="1:6" x14ac:dyDescent="0.3">
      <c r="A95" s="33">
        <v>472522</v>
      </c>
      <c r="B95" s="42" t="s">
        <v>185</v>
      </c>
      <c r="C95" s="44">
        <v>628679910194</v>
      </c>
      <c r="D95" s="43" t="s">
        <v>184</v>
      </c>
      <c r="E95" s="6" t="s">
        <v>86</v>
      </c>
      <c r="F95" s="38">
        <v>42595</v>
      </c>
    </row>
    <row r="96" spans="1:6" x14ac:dyDescent="0.3">
      <c r="A96" s="5" t="str">
        <f>"0349423"</f>
        <v>0349423</v>
      </c>
      <c r="B96" s="6" t="s">
        <v>119</v>
      </c>
      <c r="C96" s="26" t="str">
        <f>"626824806149"</f>
        <v>626824806149</v>
      </c>
      <c r="D96" s="5" t="s">
        <v>25</v>
      </c>
      <c r="E96" s="6" t="s">
        <v>86</v>
      </c>
      <c r="F96" s="8">
        <v>42593</v>
      </c>
    </row>
    <row r="97" spans="1:6" x14ac:dyDescent="0.3">
      <c r="A97" s="5" t="str">
        <f>"0458489"</f>
        <v>0458489</v>
      </c>
      <c r="B97" s="6" t="s">
        <v>183</v>
      </c>
      <c r="C97" s="26" t="str">
        <f>"091037995216"</f>
        <v>091037995216</v>
      </c>
      <c r="D97" s="5" t="s">
        <v>76</v>
      </c>
      <c r="E97" s="6" t="s">
        <v>5</v>
      </c>
      <c r="F97" s="8">
        <v>42593</v>
      </c>
    </row>
    <row r="98" spans="1:6" x14ac:dyDescent="0.3">
      <c r="A98" s="5" t="str">
        <f>"0461814"</f>
        <v>0461814</v>
      </c>
      <c r="B98" s="6" t="s">
        <v>177</v>
      </c>
      <c r="C98" s="26" t="str">
        <f>"056910280063"</f>
        <v>056910280063</v>
      </c>
      <c r="D98" s="5" t="s">
        <v>106</v>
      </c>
      <c r="E98" s="6" t="s">
        <v>86</v>
      </c>
      <c r="F98" s="8">
        <v>42591</v>
      </c>
    </row>
    <row r="99" spans="1:6" s="39" customFormat="1" x14ac:dyDescent="0.3">
      <c r="A99" s="5">
        <f>369181</f>
        <v>369181</v>
      </c>
      <c r="B99" s="6" t="s">
        <v>176</v>
      </c>
      <c r="C99" s="26">
        <v>5011885009786</v>
      </c>
      <c r="D99" s="5" t="s">
        <v>127</v>
      </c>
      <c r="E99" s="6" t="s">
        <v>181</v>
      </c>
      <c r="F99" s="8">
        <v>42586</v>
      </c>
    </row>
    <row r="100" spans="1:6" s="39" customFormat="1" x14ac:dyDescent="0.3">
      <c r="A100" s="5" t="str">
        <f>"0242156"</f>
        <v>0242156</v>
      </c>
      <c r="B100" s="6" t="s">
        <v>173</v>
      </c>
      <c r="C100" s="26" t="str">
        <f>"400005678905"</f>
        <v>400005678905</v>
      </c>
      <c r="D100" s="5" t="s">
        <v>48</v>
      </c>
      <c r="E100" s="6" t="s">
        <v>174</v>
      </c>
      <c r="F100" s="8">
        <v>42585</v>
      </c>
    </row>
    <row r="101" spans="1:6" x14ac:dyDescent="0.3">
      <c r="A101" s="5" t="str">
        <f>"0261271"</f>
        <v>0261271</v>
      </c>
      <c r="B101" s="6" t="s">
        <v>175</v>
      </c>
      <c r="C101" s="26" t="str">
        <f>"400003987733"</f>
        <v>400003987733</v>
      </c>
      <c r="D101" s="5" t="s">
        <v>48</v>
      </c>
      <c r="E101" s="6" t="s">
        <v>5</v>
      </c>
      <c r="F101" s="8">
        <v>42585</v>
      </c>
    </row>
    <row r="102" spans="1:6" x14ac:dyDescent="0.3">
      <c r="A102" s="5" t="str">
        <f>"0457804"</f>
        <v>0457804</v>
      </c>
      <c r="B102" s="6" t="s">
        <v>171</v>
      </c>
      <c r="C102" s="26" t="str">
        <f>"071990095451"</f>
        <v>071990095451</v>
      </c>
      <c r="D102" s="5" t="s">
        <v>25</v>
      </c>
      <c r="E102" s="6" t="s">
        <v>172</v>
      </c>
      <c r="F102" s="8">
        <v>42581</v>
      </c>
    </row>
    <row r="103" spans="1:6" x14ac:dyDescent="0.3">
      <c r="A103" s="5" t="str">
        <f>"0191296"</f>
        <v>0191296</v>
      </c>
      <c r="B103" s="6" t="s">
        <v>169</v>
      </c>
      <c r="C103" s="26" t="str">
        <f>"056910605040"</f>
        <v>056910605040</v>
      </c>
      <c r="D103" s="5" t="s">
        <v>127</v>
      </c>
      <c r="E103" s="6" t="s">
        <v>170</v>
      </c>
      <c r="F103" s="8">
        <v>42581</v>
      </c>
    </row>
    <row r="104" spans="1:6" x14ac:dyDescent="0.3">
      <c r="A104" s="5" t="str">
        <f>"0407668"</f>
        <v>0407668</v>
      </c>
      <c r="B104" s="6" t="s">
        <v>168</v>
      </c>
      <c r="C104" s="26" t="str">
        <f>"779315380007"</f>
        <v>779315380007</v>
      </c>
      <c r="D104" s="5" t="s">
        <v>25</v>
      </c>
      <c r="E104" s="6" t="s">
        <v>122</v>
      </c>
      <c r="F104" s="8">
        <v>42579</v>
      </c>
    </row>
    <row r="105" spans="1:6" x14ac:dyDescent="0.3">
      <c r="A105" s="5" t="str">
        <f>"0053645"</f>
        <v>0053645</v>
      </c>
      <c r="B105" s="6" t="s">
        <v>131</v>
      </c>
      <c r="C105" s="26" t="str">
        <f>"4001982283487"</f>
        <v>4001982283487</v>
      </c>
      <c r="D105" s="5" t="s">
        <v>29</v>
      </c>
      <c r="E105" s="6" t="s">
        <v>5</v>
      </c>
      <c r="F105" s="8">
        <v>42578</v>
      </c>
    </row>
    <row r="106" spans="1:6" x14ac:dyDescent="0.3">
      <c r="A106" s="5" t="str">
        <f>"0437665"</f>
        <v>0437665</v>
      </c>
      <c r="B106" s="6" t="s">
        <v>166</v>
      </c>
      <c r="C106" s="26">
        <v>832958000524</v>
      </c>
      <c r="D106" s="5" t="s">
        <v>25</v>
      </c>
      <c r="E106" s="6" t="s">
        <v>167</v>
      </c>
      <c r="F106" s="8">
        <v>42578</v>
      </c>
    </row>
    <row r="107" spans="1:6" x14ac:dyDescent="0.3">
      <c r="A107" s="5" t="str">
        <f>"467167"</f>
        <v>467167</v>
      </c>
      <c r="B107" s="6" t="s">
        <v>165</v>
      </c>
      <c r="C107" s="26" t="str">
        <f>"627843405122"</f>
        <v>627843405122</v>
      </c>
      <c r="D107" s="5" t="s">
        <v>25</v>
      </c>
      <c r="E107" s="6" t="s">
        <v>5</v>
      </c>
      <c r="F107" s="8">
        <v>42577</v>
      </c>
    </row>
    <row r="108" spans="1:6" x14ac:dyDescent="0.3">
      <c r="A108" s="5">
        <v>429738</v>
      </c>
      <c r="B108" s="6" t="s">
        <v>121</v>
      </c>
      <c r="C108" s="26">
        <v>874414000112</v>
      </c>
      <c r="D108" s="5" t="s">
        <v>25</v>
      </c>
      <c r="E108" s="6" t="s">
        <v>164</v>
      </c>
      <c r="F108" s="8">
        <v>42574</v>
      </c>
    </row>
    <row r="109" spans="1:6" x14ac:dyDescent="0.3">
      <c r="A109" s="5" t="str">
        <f>"0449439"</f>
        <v>0449439</v>
      </c>
      <c r="B109" s="6" t="s">
        <v>163</v>
      </c>
      <c r="C109" s="26" t="str">
        <f>"056327009936"</f>
        <v>056327009936</v>
      </c>
      <c r="D109" s="5" t="s">
        <v>25</v>
      </c>
      <c r="E109" s="6" t="s">
        <v>5</v>
      </c>
      <c r="F109" s="8">
        <v>42573</v>
      </c>
    </row>
    <row r="110" spans="1:6" x14ac:dyDescent="0.3">
      <c r="A110" s="5" t="str">
        <f>"0449025"</f>
        <v>0449025</v>
      </c>
      <c r="B110" s="6" t="s">
        <v>159</v>
      </c>
      <c r="C110" s="26" t="str">
        <f>"624327008961"</f>
        <v>624327008961</v>
      </c>
      <c r="D110" s="5" t="s">
        <v>137</v>
      </c>
      <c r="E110" s="6" t="s">
        <v>86</v>
      </c>
      <c r="F110" s="8">
        <v>42571</v>
      </c>
    </row>
    <row r="111" spans="1:6" x14ac:dyDescent="0.3">
      <c r="A111" s="5" t="str">
        <f>"0449033"</f>
        <v>0449033</v>
      </c>
      <c r="B111" s="6" t="s">
        <v>160</v>
      </c>
      <c r="C111" s="26" t="str">
        <f>"624327008978"</f>
        <v>624327008978</v>
      </c>
      <c r="D111" s="5" t="s">
        <v>137</v>
      </c>
      <c r="E111" s="6" t="s">
        <v>86</v>
      </c>
      <c r="F111" s="8">
        <v>42571</v>
      </c>
    </row>
    <row r="112" spans="1:6" x14ac:dyDescent="0.3">
      <c r="A112" s="5" t="str">
        <f>"0294520"</f>
        <v>0294520</v>
      </c>
      <c r="B112" s="6" t="s">
        <v>157</v>
      </c>
      <c r="C112" s="26" t="str">
        <f>"874702000015"</f>
        <v>874702000015</v>
      </c>
      <c r="D112" s="5" t="s">
        <v>37</v>
      </c>
      <c r="E112" s="6" t="s">
        <v>158</v>
      </c>
      <c r="F112" s="8">
        <v>42571</v>
      </c>
    </row>
    <row r="113" spans="1:6" ht="41.95" x14ac:dyDescent="0.3">
      <c r="A113" s="36" t="str">
        <f>"0460048"</f>
        <v>0460048</v>
      </c>
      <c r="B113" s="9" t="s">
        <v>129</v>
      </c>
      <c r="C113" s="37" t="str">
        <f>"839587000413"</f>
        <v>839587000413</v>
      </c>
      <c r="D113" s="36" t="s">
        <v>48</v>
      </c>
      <c r="E113" s="41" t="s">
        <v>155</v>
      </c>
      <c r="F113" s="38">
        <v>42566</v>
      </c>
    </row>
    <row r="114" spans="1:6" ht="41.95" x14ac:dyDescent="0.3">
      <c r="A114" s="36" t="str">
        <f>"0449280"</f>
        <v>0449280</v>
      </c>
      <c r="B114" s="9" t="s">
        <v>130</v>
      </c>
      <c r="C114" s="37" t="str">
        <f>"839587000116"</f>
        <v>839587000116</v>
      </c>
      <c r="D114" s="36" t="s">
        <v>48</v>
      </c>
      <c r="E114" s="41" t="s">
        <v>156</v>
      </c>
      <c r="F114" s="38">
        <v>42566</v>
      </c>
    </row>
    <row r="115" spans="1:6" x14ac:dyDescent="0.3">
      <c r="A115" s="5">
        <v>238766</v>
      </c>
      <c r="B115" s="6" t="s">
        <v>141</v>
      </c>
      <c r="C115" s="26">
        <v>624327008282</v>
      </c>
      <c r="D115" s="5" t="s">
        <v>48</v>
      </c>
      <c r="E115" s="6" t="s">
        <v>86</v>
      </c>
      <c r="F115" s="8">
        <v>42565</v>
      </c>
    </row>
    <row r="116" spans="1:6" x14ac:dyDescent="0.3">
      <c r="A116" s="5">
        <v>243436</v>
      </c>
      <c r="B116" s="6" t="s">
        <v>142</v>
      </c>
      <c r="C116" s="26">
        <v>624327008695</v>
      </c>
      <c r="D116" s="5" t="s">
        <v>48</v>
      </c>
      <c r="E116" s="6" t="s">
        <v>86</v>
      </c>
      <c r="F116" s="8">
        <v>42565</v>
      </c>
    </row>
    <row r="117" spans="1:6" x14ac:dyDescent="0.3">
      <c r="A117" s="5">
        <v>343111</v>
      </c>
      <c r="B117" s="6" t="s">
        <v>143</v>
      </c>
      <c r="C117" s="26">
        <v>624327008121</v>
      </c>
      <c r="D117" s="5" t="s">
        <v>48</v>
      </c>
      <c r="E117" s="6" t="s">
        <v>86</v>
      </c>
      <c r="F117" s="8">
        <v>42565</v>
      </c>
    </row>
    <row r="118" spans="1:6" x14ac:dyDescent="0.3">
      <c r="A118" s="5">
        <v>370833</v>
      </c>
      <c r="B118" s="6" t="s">
        <v>144</v>
      </c>
      <c r="C118" s="26">
        <v>624327008558</v>
      </c>
      <c r="D118" s="5" t="s">
        <v>48</v>
      </c>
      <c r="E118" s="6" t="s">
        <v>86</v>
      </c>
      <c r="F118" s="8">
        <v>42565</v>
      </c>
    </row>
    <row r="119" spans="1:6" x14ac:dyDescent="0.3">
      <c r="A119" s="5">
        <v>406355</v>
      </c>
      <c r="B119" s="6" t="s">
        <v>145</v>
      </c>
      <c r="C119" s="26">
        <v>624327008022</v>
      </c>
      <c r="D119" s="5" t="s">
        <v>48</v>
      </c>
      <c r="E119" s="6" t="s">
        <v>86</v>
      </c>
      <c r="F119" s="8">
        <v>42565</v>
      </c>
    </row>
    <row r="120" spans="1:6" x14ac:dyDescent="0.3">
      <c r="A120" s="5">
        <v>419697</v>
      </c>
      <c r="B120" s="6" t="s">
        <v>146</v>
      </c>
      <c r="C120" s="26">
        <v>624327008039</v>
      </c>
      <c r="D120" s="5" t="s">
        <v>48</v>
      </c>
      <c r="E120" s="40" t="s">
        <v>86</v>
      </c>
      <c r="F120" s="8">
        <v>42565</v>
      </c>
    </row>
    <row r="121" spans="1:6" x14ac:dyDescent="0.3">
      <c r="A121" s="5">
        <v>436857</v>
      </c>
      <c r="B121" s="6" t="s">
        <v>147</v>
      </c>
      <c r="C121" s="26">
        <v>624327008428</v>
      </c>
      <c r="D121" s="5" t="s">
        <v>48</v>
      </c>
      <c r="E121" s="6" t="s">
        <v>86</v>
      </c>
      <c r="F121" s="8">
        <v>42565</v>
      </c>
    </row>
    <row r="122" spans="1:6" x14ac:dyDescent="0.3">
      <c r="A122" s="5">
        <v>448951</v>
      </c>
      <c r="B122" s="6" t="s">
        <v>148</v>
      </c>
      <c r="C122" s="26">
        <v>624327008077</v>
      </c>
      <c r="D122" s="5" t="s">
        <v>48</v>
      </c>
      <c r="E122" s="6" t="s">
        <v>86</v>
      </c>
      <c r="F122" s="8">
        <v>42565</v>
      </c>
    </row>
    <row r="123" spans="1:6" x14ac:dyDescent="0.3">
      <c r="A123" s="5">
        <v>448969</v>
      </c>
      <c r="B123" s="6" t="s">
        <v>149</v>
      </c>
      <c r="C123" s="26">
        <v>624327008145</v>
      </c>
      <c r="D123" s="5" t="s">
        <v>48</v>
      </c>
      <c r="E123" s="6" t="s">
        <v>86</v>
      </c>
      <c r="F123" s="8">
        <v>42565</v>
      </c>
    </row>
    <row r="124" spans="1:6" x14ac:dyDescent="0.3">
      <c r="A124" s="5">
        <v>448985</v>
      </c>
      <c r="B124" s="6" t="s">
        <v>150</v>
      </c>
      <c r="C124" s="26">
        <v>624327008152</v>
      </c>
      <c r="D124" s="5" t="s">
        <v>48</v>
      </c>
      <c r="E124" s="6" t="s">
        <v>86</v>
      </c>
      <c r="F124" s="8">
        <v>42565</v>
      </c>
    </row>
    <row r="125" spans="1:6" x14ac:dyDescent="0.3">
      <c r="A125" s="5">
        <v>448993</v>
      </c>
      <c r="B125" s="6" t="s">
        <v>151</v>
      </c>
      <c r="C125" s="26">
        <v>624327008329</v>
      </c>
      <c r="D125" s="5" t="s">
        <v>48</v>
      </c>
      <c r="E125" s="6" t="s">
        <v>86</v>
      </c>
      <c r="F125" s="8">
        <v>42565</v>
      </c>
    </row>
    <row r="126" spans="1:6" x14ac:dyDescent="0.3">
      <c r="A126" s="5">
        <v>449041</v>
      </c>
      <c r="B126" s="6" t="s">
        <v>152</v>
      </c>
      <c r="C126" s="26">
        <v>624327008985</v>
      </c>
      <c r="D126" s="5" t="s">
        <v>137</v>
      </c>
      <c r="E126" s="6" t="s">
        <v>86</v>
      </c>
      <c r="F126" s="8">
        <v>42565</v>
      </c>
    </row>
    <row r="127" spans="1:6" x14ac:dyDescent="0.3">
      <c r="A127" s="5">
        <v>449405</v>
      </c>
      <c r="B127" s="6" t="s">
        <v>153</v>
      </c>
      <c r="C127" s="26">
        <v>624327008381</v>
      </c>
      <c r="D127" s="5" t="s">
        <v>48</v>
      </c>
      <c r="E127" s="6" t="s">
        <v>86</v>
      </c>
      <c r="F127" s="8">
        <v>42565</v>
      </c>
    </row>
    <row r="128" spans="1:6" x14ac:dyDescent="0.3">
      <c r="A128" s="5">
        <v>449413</v>
      </c>
      <c r="B128" s="6" t="s">
        <v>154</v>
      </c>
      <c r="C128" s="26">
        <v>624327008404</v>
      </c>
      <c r="D128" s="5" t="s">
        <v>48</v>
      </c>
      <c r="E128" s="6" t="s">
        <v>86</v>
      </c>
      <c r="F128" s="8">
        <v>42565</v>
      </c>
    </row>
    <row r="129" spans="1:6" x14ac:dyDescent="0.3">
      <c r="A129" s="5" t="str">
        <f>"0698993"</f>
        <v>0698993</v>
      </c>
      <c r="B129" s="6" t="s">
        <v>139</v>
      </c>
      <c r="C129" s="26" t="str">
        <f>"056327003309"</f>
        <v>056327003309</v>
      </c>
      <c r="D129" s="5" t="s">
        <v>140</v>
      </c>
      <c r="E129" s="6" t="s">
        <v>5</v>
      </c>
      <c r="F129" s="8">
        <v>42565</v>
      </c>
    </row>
    <row r="130" spans="1:6" x14ac:dyDescent="0.3">
      <c r="A130" s="5" t="str">
        <f>"0376772"</f>
        <v>0376772</v>
      </c>
      <c r="B130" s="6" t="s">
        <v>138</v>
      </c>
      <c r="C130" s="26" t="str">
        <f>"5060190561663"</f>
        <v>5060190561663</v>
      </c>
      <c r="D130" s="5" t="s">
        <v>48</v>
      </c>
      <c r="E130" s="6" t="s">
        <v>5</v>
      </c>
      <c r="F130" s="8">
        <v>42559</v>
      </c>
    </row>
    <row r="131" spans="1:6" x14ac:dyDescent="0.3">
      <c r="A131" s="5" t="str">
        <f>"0379305"</f>
        <v>0379305</v>
      </c>
      <c r="B131" s="6" t="s">
        <v>134</v>
      </c>
      <c r="C131" s="26" t="str">
        <f>"5411098730055"</f>
        <v>5411098730055</v>
      </c>
      <c r="D131" s="5" t="s">
        <v>135</v>
      </c>
      <c r="E131" s="6" t="s">
        <v>5</v>
      </c>
      <c r="F131" s="8">
        <v>42558</v>
      </c>
    </row>
    <row r="132" spans="1:6" x14ac:dyDescent="0.3">
      <c r="A132" s="5" t="str">
        <f>"0069591"</f>
        <v>0069591</v>
      </c>
      <c r="B132" s="6" t="s">
        <v>136</v>
      </c>
      <c r="C132" s="26" t="str">
        <f>"5411656010612"</f>
        <v>5411656010612</v>
      </c>
      <c r="D132" s="5" t="s">
        <v>137</v>
      </c>
      <c r="E132" s="6" t="s">
        <v>5</v>
      </c>
      <c r="F132" s="8">
        <v>42558</v>
      </c>
    </row>
    <row r="133" spans="1:6" x14ac:dyDescent="0.3">
      <c r="A133" s="5" t="str">
        <f>"0286575"</f>
        <v>0286575</v>
      </c>
      <c r="B133" s="6" t="s">
        <v>132</v>
      </c>
      <c r="C133" s="26" t="str">
        <f>"628679200035"</f>
        <v>628679200035</v>
      </c>
      <c r="D133" s="5" t="s">
        <v>106</v>
      </c>
      <c r="E133" s="6" t="s">
        <v>5</v>
      </c>
      <c r="F133" s="8">
        <v>42558</v>
      </c>
    </row>
    <row r="134" spans="1:6" x14ac:dyDescent="0.3">
      <c r="A134" s="5" t="str">
        <f>"0286583"</f>
        <v>0286583</v>
      </c>
      <c r="B134" s="6" t="s">
        <v>133</v>
      </c>
      <c r="C134" s="26" t="str">
        <f>"628679200028"</f>
        <v>628679200028</v>
      </c>
      <c r="D134" s="5" t="s">
        <v>106</v>
      </c>
      <c r="E134" s="6" t="s">
        <v>5</v>
      </c>
      <c r="F134" s="8">
        <v>42558</v>
      </c>
    </row>
    <row r="135" spans="1:6" x14ac:dyDescent="0.3">
      <c r="A135" s="5" t="str">
        <f>"0053645"</f>
        <v>0053645</v>
      </c>
      <c r="B135" s="6" t="s">
        <v>131</v>
      </c>
      <c r="C135" s="26" t="str">
        <f>"4001982283487"</f>
        <v>4001982283487</v>
      </c>
      <c r="D135" s="5" t="s">
        <v>29</v>
      </c>
      <c r="E135" s="6" t="s">
        <v>5</v>
      </c>
      <c r="F135" s="8">
        <v>42557</v>
      </c>
    </row>
    <row r="136" spans="1:6" x14ac:dyDescent="0.3">
      <c r="A136" s="5" t="str">
        <f>"0472423"</f>
        <v>0472423</v>
      </c>
      <c r="B136" s="6" t="s">
        <v>128</v>
      </c>
      <c r="C136" s="26" t="str">
        <f>"056327010383"</f>
        <v>056327010383</v>
      </c>
      <c r="D136" s="5" t="s">
        <v>25</v>
      </c>
      <c r="E136" s="6" t="s">
        <v>5</v>
      </c>
      <c r="F136" s="8">
        <v>42557</v>
      </c>
    </row>
    <row r="137" spans="1:6" x14ac:dyDescent="0.3">
      <c r="A137" s="5" t="str">
        <f>"0369140"</f>
        <v>0369140</v>
      </c>
      <c r="B137" s="6" t="s">
        <v>126</v>
      </c>
      <c r="C137" s="26" t="str">
        <f>"5011885002190"</f>
        <v>5011885002190</v>
      </c>
      <c r="D137" s="5" t="s">
        <v>127</v>
      </c>
      <c r="E137" s="6" t="s">
        <v>5</v>
      </c>
      <c r="F137" s="8">
        <v>42556</v>
      </c>
    </row>
    <row r="138" spans="1:6" x14ac:dyDescent="0.3">
      <c r="A138" s="5" t="str">
        <f>"0467001"</f>
        <v>0467001</v>
      </c>
      <c r="B138" s="6" t="s">
        <v>123</v>
      </c>
      <c r="C138" s="26" t="str">
        <f>"852500001304"</f>
        <v>852500001304</v>
      </c>
      <c r="D138" s="5" t="s">
        <v>124</v>
      </c>
      <c r="E138" s="6" t="s">
        <v>125</v>
      </c>
      <c r="F138" s="8">
        <v>42549</v>
      </c>
    </row>
    <row r="139" spans="1:6" x14ac:dyDescent="0.3">
      <c r="A139" s="5">
        <v>429738</v>
      </c>
      <c r="B139" s="6" t="s">
        <v>121</v>
      </c>
      <c r="C139" s="26">
        <v>874414000112</v>
      </c>
      <c r="D139" s="5" t="s">
        <v>25</v>
      </c>
      <c r="E139" s="6" t="s">
        <v>122</v>
      </c>
      <c r="F139" s="8">
        <v>42544</v>
      </c>
    </row>
    <row r="140" spans="1:6" x14ac:dyDescent="0.3">
      <c r="A140" s="5" t="str">
        <f>"0442566"</f>
        <v>0442566</v>
      </c>
      <c r="B140" s="6" t="s">
        <v>120</v>
      </c>
      <c r="C140" s="26" t="str">
        <f>"091037361943"</f>
        <v>091037361943</v>
      </c>
      <c r="D140" s="5" t="s">
        <v>76</v>
      </c>
      <c r="E140" s="6" t="s">
        <v>86</v>
      </c>
      <c r="F140" s="8">
        <v>42543</v>
      </c>
    </row>
    <row r="141" spans="1:6" x14ac:dyDescent="0.3">
      <c r="A141" s="5" t="str">
        <f>"0349423"</f>
        <v>0349423</v>
      </c>
      <c r="B141" s="6" t="s">
        <v>119</v>
      </c>
      <c r="C141" s="26" t="str">
        <f>"626824806149"</f>
        <v>626824806149</v>
      </c>
      <c r="D141" s="5" t="s">
        <v>25</v>
      </c>
      <c r="E141" s="6" t="s">
        <v>86</v>
      </c>
      <c r="F141" s="8">
        <v>42539</v>
      </c>
    </row>
    <row r="142" spans="1:6" x14ac:dyDescent="0.3">
      <c r="A142" s="5" t="str">
        <f>"0142356"</f>
        <v>0142356</v>
      </c>
      <c r="B142" s="6" t="s">
        <v>114</v>
      </c>
      <c r="C142" s="26" t="str">
        <f>"626824900014"</f>
        <v>626824900014</v>
      </c>
      <c r="D142" s="5" t="s">
        <v>25</v>
      </c>
      <c r="E142" s="6" t="s">
        <v>118</v>
      </c>
      <c r="F142" s="8">
        <v>42539</v>
      </c>
    </row>
    <row r="143" spans="1:6" x14ac:dyDescent="0.3">
      <c r="A143" s="5" t="str">
        <f>"0458539"</f>
        <v>0458539</v>
      </c>
      <c r="B143" s="6" t="s">
        <v>117</v>
      </c>
      <c r="C143" s="26" t="str">
        <f>"742832061056"</f>
        <v>742832061056</v>
      </c>
      <c r="D143" s="5" t="s">
        <v>25</v>
      </c>
      <c r="E143" s="46" t="s">
        <v>86</v>
      </c>
      <c r="F143" s="8">
        <v>42536</v>
      </c>
    </row>
    <row r="144" spans="1:6" x14ac:dyDescent="0.3">
      <c r="A144" s="5" t="str">
        <f>"0459016"</f>
        <v>0459016</v>
      </c>
      <c r="B144" s="6" t="s">
        <v>116</v>
      </c>
      <c r="C144" s="26" t="str">
        <f>"186360050005"</f>
        <v>186360050005</v>
      </c>
      <c r="D144" s="5" t="s">
        <v>25</v>
      </c>
      <c r="E144" s="6" t="s">
        <v>86</v>
      </c>
      <c r="F144" s="8">
        <v>42536</v>
      </c>
    </row>
    <row r="145" spans="1:16376" x14ac:dyDescent="0.3">
      <c r="A145" s="5" t="str">
        <f>"0142356"</f>
        <v>0142356</v>
      </c>
      <c r="B145" s="6" t="s">
        <v>114</v>
      </c>
      <c r="C145" s="26" t="str">
        <f>"626824900014"</f>
        <v>626824900014</v>
      </c>
      <c r="D145" s="5" t="s">
        <v>25</v>
      </c>
      <c r="E145" s="6" t="s">
        <v>115</v>
      </c>
      <c r="F145" s="8">
        <v>42528</v>
      </c>
    </row>
    <row r="146" spans="1:16376" s="35" customFormat="1" x14ac:dyDescent="0.3">
      <c r="A146" s="5" t="str">
        <f>"0286609"</f>
        <v>0286609</v>
      </c>
      <c r="B146" s="6" t="s">
        <v>105</v>
      </c>
      <c r="C146" s="26" t="str">
        <f>"628679200011"</f>
        <v>628679200011</v>
      </c>
      <c r="D146" s="5" t="s">
        <v>106</v>
      </c>
      <c r="E146" s="6" t="s">
        <v>5</v>
      </c>
      <c r="F146" s="8">
        <v>42524</v>
      </c>
    </row>
    <row r="147" spans="1:16376" x14ac:dyDescent="0.3">
      <c r="A147" s="5" t="s">
        <v>107</v>
      </c>
      <c r="B147" s="6" t="s">
        <v>108</v>
      </c>
      <c r="C147" s="26" t="s">
        <v>109</v>
      </c>
      <c r="D147" s="5" t="s">
        <v>25</v>
      </c>
      <c r="E147" s="6" t="s">
        <v>113</v>
      </c>
      <c r="F147" s="8">
        <v>42521</v>
      </c>
    </row>
    <row r="148" spans="1:16376" x14ac:dyDescent="0.3">
      <c r="A148" s="29" t="s">
        <v>110</v>
      </c>
      <c r="B148" s="6" t="s">
        <v>111</v>
      </c>
      <c r="C148" s="26" t="s">
        <v>112</v>
      </c>
      <c r="D148" s="5" t="s">
        <v>25</v>
      </c>
      <c r="E148" s="6" t="s">
        <v>113</v>
      </c>
      <c r="F148" s="8">
        <v>42521</v>
      </c>
    </row>
    <row r="149" spans="1:16376" x14ac:dyDescent="0.3">
      <c r="A149" s="5" t="str">
        <f>"0380295"</f>
        <v>0380295</v>
      </c>
      <c r="B149" s="6" t="s">
        <v>104</v>
      </c>
      <c r="C149" s="26" t="str">
        <f>"062067167355"</f>
        <v>062067167355</v>
      </c>
      <c r="D149" s="5" t="s">
        <v>25</v>
      </c>
      <c r="E149" s="6" t="s">
        <v>5</v>
      </c>
      <c r="F149" s="8">
        <v>42517</v>
      </c>
    </row>
    <row r="150" spans="1:16376" x14ac:dyDescent="0.3">
      <c r="A150" s="5" t="str">
        <f>"0365767"</f>
        <v>0365767</v>
      </c>
      <c r="B150" s="6" t="s">
        <v>102</v>
      </c>
      <c r="C150" s="26" t="str">
        <f>"812339000114"</f>
        <v>812339000114</v>
      </c>
      <c r="D150" s="5" t="s">
        <v>25</v>
      </c>
      <c r="E150" s="6" t="s">
        <v>103</v>
      </c>
      <c r="F150" s="8">
        <v>42517</v>
      </c>
    </row>
    <row r="151" spans="1:16376" x14ac:dyDescent="0.3">
      <c r="A151" s="5">
        <v>458273</v>
      </c>
      <c r="B151" s="6" t="s">
        <v>101</v>
      </c>
      <c r="C151" s="26" t="str">
        <f>"625640306512"</f>
        <v>625640306512</v>
      </c>
      <c r="D151" s="5" t="s">
        <v>25</v>
      </c>
      <c r="E151" s="6" t="s">
        <v>86</v>
      </c>
      <c r="F151" s="8">
        <v>42517</v>
      </c>
    </row>
    <row r="152" spans="1:16376" x14ac:dyDescent="0.3">
      <c r="A152" s="5">
        <v>458380</v>
      </c>
      <c r="B152" s="6" t="s">
        <v>100</v>
      </c>
      <c r="C152" s="26">
        <v>628669010156</v>
      </c>
      <c r="D152" s="5" t="s">
        <v>9</v>
      </c>
      <c r="E152" s="6" t="s">
        <v>86</v>
      </c>
      <c r="F152" s="8">
        <v>42509</v>
      </c>
    </row>
    <row r="153" spans="1:16376" x14ac:dyDescent="0.3">
      <c r="A153" s="5" t="str">
        <f>"0446963"</f>
        <v>0446963</v>
      </c>
      <c r="B153" s="6" t="s">
        <v>97</v>
      </c>
      <c r="C153" s="26" t="str">
        <f>"627843437499"</f>
        <v>627843437499</v>
      </c>
      <c r="D153" s="5" t="s">
        <v>98</v>
      </c>
      <c r="E153" s="6" t="s">
        <v>99</v>
      </c>
      <c r="F153" s="8">
        <v>42504</v>
      </c>
    </row>
    <row r="154" spans="1:16376" s="15" customFormat="1" x14ac:dyDescent="0.3">
      <c r="A154" s="5" t="str">
        <f>"0359679"</f>
        <v>0359679</v>
      </c>
      <c r="B154" s="6" t="s">
        <v>96</v>
      </c>
      <c r="C154" s="26" t="str">
        <f>"5391516931069"</f>
        <v>5391516931069</v>
      </c>
      <c r="D154" s="5" t="s">
        <v>29</v>
      </c>
      <c r="E154" s="6" t="s">
        <v>5</v>
      </c>
      <c r="F154" s="8">
        <v>42502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  <c r="JM154" s="14"/>
      <c r="JN154" s="14"/>
      <c r="JO154" s="14"/>
      <c r="JP154" s="14"/>
      <c r="JQ154" s="14"/>
      <c r="JR154" s="14"/>
      <c r="JS154" s="14"/>
      <c r="JT154" s="14"/>
      <c r="JU154" s="14"/>
      <c r="JV154" s="14"/>
      <c r="JW154" s="14"/>
      <c r="JX154" s="14"/>
      <c r="JY154" s="14"/>
      <c r="JZ154" s="14"/>
      <c r="KA154" s="14"/>
      <c r="KB154" s="14"/>
      <c r="KC154" s="14"/>
      <c r="KD154" s="14"/>
      <c r="KE154" s="14"/>
      <c r="KF154" s="14"/>
      <c r="KG154" s="14"/>
      <c r="KH154" s="14"/>
      <c r="KI154" s="14"/>
      <c r="KJ154" s="14"/>
      <c r="KK154" s="14"/>
      <c r="KL154" s="14"/>
      <c r="KM154" s="14"/>
      <c r="KN154" s="14"/>
      <c r="KO154" s="14"/>
      <c r="KP154" s="14"/>
      <c r="KQ154" s="14"/>
      <c r="KR154" s="14"/>
      <c r="KS154" s="14"/>
      <c r="KT154" s="14"/>
      <c r="KU154" s="14"/>
      <c r="KV154" s="14"/>
      <c r="KW154" s="14"/>
      <c r="KX154" s="14"/>
      <c r="KY154" s="14"/>
      <c r="KZ154" s="14"/>
      <c r="LA154" s="14"/>
      <c r="LB154" s="14"/>
      <c r="LC154" s="14"/>
      <c r="LD154" s="14"/>
      <c r="LE154" s="14"/>
      <c r="LF154" s="14"/>
      <c r="LG154" s="14"/>
      <c r="LH154" s="14"/>
      <c r="LI154" s="14"/>
      <c r="LJ154" s="14"/>
      <c r="LK154" s="14"/>
      <c r="LL154" s="14"/>
      <c r="LM154" s="14"/>
      <c r="LN154" s="14"/>
      <c r="LO154" s="14"/>
      <c r="LP154" s="14"/>
      <c r="LQ154" s="14"/>
      <c r="LR154" s="14"/>
      <c r="LS154" s="14"/>
      <c r="LT154" s="14"/>
      <c r="LU154" s="14"/>
      <c r="LV154" s="14"/>
      <c r="LW154" s="14"/>
      <c r="LX154" s="14"/>
      <c r="LY154" s="14"/>
      <c r="LZ154" s="14"/>
      <c r="MA154" s="14"/>
      <c r="MB154" s="14"/>
      <c r="MC154" s="14"/>
      <c r="MD154" s="14"/>
      <c r="ME154" s="14"/>
      <c r="MF154" s="14"/>
      <c r="MG154" s="14"/>
      <c r="MH154" s="14"/>
      <c r="MI154" s="14"/>
      <c r="MJ154" s="14"/>
      <c r="MK154" s="14"/>
      <c r="ML154" s="14"/>
      <c r="MM154" s="14"/>
      <c r="MN154" s="14"/>
      <c r="MO154" s="14"/>
      <c r="MP154" s="14"/>
      <c r="MQ154" s="14"/>
      <c r="MR154" s="14"/>
      <c r="MS154" s="14"/>
      <c r="MT154" s="14"/>
      <c r="MU154" s="14"/>
      <c r="MV154" s="14"/>
      <c r="MW154" s="14"/>
      <c r="MX154" s="14"/>
      <c r="MY154" s="14"/>
      <c r="MZ154" s="14"/>
      <c r="NA154" s="14"/>
      <c r="NB154" s="14"/>
      <c r="NC154" s="14"/>
      <c r="ND154" s="14"/>
      <c r="NE154" s="14"/>
      <c r="NF154" s="14"/>
      <c r="NG154" s="14"/>
      <c r="NH154" s="14"/>
      <c r="NI154" s="14"/>
      <c r="NJ154" s="14"/>
      <c r="NK154" s="14"/>
      <c r="NL154" s="14"/>
      <c r="NM154" s="14"/>
      <c r="NN154" s="14"/>
      <c r="NO154" s="14"/>
      <c r="NP154" s="14"/>
      <c r="NQ154" s="14"/>
      <c r="NR154" s="14"/>
      <c r="NS154" s="14"/>
      <c r="NT154" s="14"/>
      <c r="NU154" s="14"/>
      <c r="NV154" s="14"/>
      <c r="NW154" s="14"/>
      <c r="NX154" s="14"/>
      <c r="NY154" s="14"/>
      <c r="NZ154" s="14"/>
      <c r="OA154" s="14"/>
      <c r="OB154" s="14"/>
      <c r="OC154" s="14"/>
      <c r="OD154" s="14"/>
      <c r="OE154" s="14"/>
      <c r="OF154" s="14"/>
      <c r="OG154" s="14"/>
      <c r="OH154" s="14"/>
      <c r="OI154" s="14"/>
      <c r="OJ154" s="14"/>
      <c r="OK154" s="14"/>
      <c r="OL154" s="14"/>
      <c r="OM154" s="14"/>
      <c r="ON154" s="14"/>
      <c r="OO154" s="14"/>
      <c r="OP154" s="14"/>
      <c r="OQ154" s="14"/>
      <c r="OR154" s="14"/>
      <c r="OS154" s="14"/>
      <c r="OT154" s="14"/>
      <c r="OU154" s="14"/>
      <c r="OV154" s="14"/>
      <c r="OW154" s="14"/>
      <c r="OX154" s="14"/>
      <c r="OY154" s="14"/>
      <c r="OZ154" s="14"/>
      <c r="PA154" s="14"/>
      <c r="PB154" s="14"/>
      <c r="PC154" s="14"/>
      <c r="PD154" s="14"/>
      <c r="PE154" s="14"/>
      <c r="PF154" s="14"/>
      <c r="PG154" s="14"/>
      <c r="PH154" s="14"/>
      <c r="PI154" s="14"/>
      <c r="PJ154" s="14"/>
      <c r="PK154" s="14"/>
      <c r="PL154" s="14"/>
      <c r="PM154" s="14"/>
      <c r="PN154" s="14"/>
      <c r="PO154" s="14"/>
      <c r="PP154" s="14"/>
      <c r="PQ154" s="14"/>
      <c r="PR154" s="14"/>
      <c r="PS154" s="14"/>
      <c r="PT154" s="14"/>
      <c r="PU154" s="14"/>
      <c r="PV154" s="14"/>
      <c r="PW154" s="14"/>
      <c r="PX154" s="14"/>
      <c r="PY154" s="14"/>
      <c r="PZ154" s="14"/>
      <c r="QA154" s="14"/>
      <c r="QB154" s="14"/>
      <c r="QC154" s="14"/>
      <c r="QD154" s="14"/>
      <c r="QE154" s="14"/>
      <c r="QF154" s="14"/>
      <c r="QG154" s="14"/>
      <c r="QH154" s="14"/>
      <c r="QI154" s="14"/>
      <c r="QJ154" s="14"/>
      <c r="QK154" s="14"/>
      <c r="QL154" s="14"/>
      <c r="QM154" s="14"/>
      <c r="QN154" s="14"/>
      <c r="QO154" s="14"/>
      <c r="QP154" s="14"/>
      <c r="QQ154" s="14"/>
      <c r="QR154" s="14"/>
      <c r="QS154" s="14"/>
      <c r="QT154" s="14"/>
      <c r="QU154" s="14"/>
      <c r="QV154" s="14"/>
      <c r="QW154" s="14"/>
      <c r="QX154" s="14"/>
      <c r="QY154" s="14"/>
      <c r="QZ154" s="14"/>
      <c r="RA154" s="14"/>
      <c r="RB154" s="14"/>
      <c r="RC154" s="14"/>
      <c r="RD154" s="14"/>
      <c r="RE154" s="14"/>
      <c r="RF154" s="14"/>
      <c r="RG154" s="14"/>
      <c r="RH154" s="14"/>
      <c r="RI154" s="14"/>
      <c r="RJ154" s="14"/>
      <c r="RK154" s="14"/>
      <c r="RL154" s="14"/>
      <c r="RM154" s="14"/>
      <c r="RN154" s="14"/>
      <c r="RO154" s="14"/>
      <c r="RP154" s="14"/>
      <c r="RQ154" s="14"/>
      <c r="RR154" s="14"/>
      <c r="RS154" s="14"/>
      <c r="RT154" s="14"/>
      <c r="RU154" s="14"/>
      <c r="RV154" s="14"/>
      <c r="RW154" s="14"/>
      <c r="RX154" s="14"/>
      <c r="RY154" s="14"/>
      <c r="RZ154" s="14"/>
      <c r="SA154" s="14"/>
      <c r="SB154" s="14"/>
      <c r="SC154" s="14"/>
      <c r="SD154" s="14"/>
      <c r="SE154" s="14"/>
      <c r="SF154" s="14"/>
      <c r="SG154" s="14"/>
      <c r="SH154" s="14"/>
      <c r="SI154" s="14"/>
      <c r="SJ154" s="14"/>
      <c r="SK154" s="14"/>
      <c r="SL154" s="14"/>
      <c r="SM154" s="14"/>
      <c r="SN154" s="14"/>
      <c r="SO154" s="14"/>
      <c r="SP154" s="14"/>
      <c r="SQ154" s="14"/>
      <c r="SR154" s="14"/>
      <c r="SS154" s="14"/>
      <c r="ST154" s="14"/>
      <c r="SU154" s="14"/>
      <c r="SV154" s="14"/>
      <c r="SW154" s="14"/>
      <c r="SX154" s="14"/>
      <c r="SY154" s="14"/>
      <c r="SZ154" s="14"/>
      <c r="TA154" s="14"/>
      <c r="TB154" s="14"/>
      <c r="TC154" s="14"/>
      <c r="TD154" s="14"/>
      <c r="TE154" s="14"/>
      <c r="TF154" s="14"/>
      <c r="TG154" s="14"/>
      <c r="TH154" s="14"/>
      <c r="TI154" s="14"/>
      <c r="TJ154" s="14"/>
      <c r="TK154" s="14"/>
      <c r="TL154" s="14"/>
      <c r="TM154" s="14"/>
      <c r="TN154" s="14"/>
      <c r="TO154" s="14"/>
      <c r="TP154" s="14"/>
      <c r="TQ154" s="14"/>
      <c r="TR154" s="14"/>
      <c r="TS154" s="14"/>
      <c r="TT154" s="14"/>
      <c r="TU154" s="14"/>
      <c r="TV154" s="14"/>
      <c r="TW154" s="14"/>
      <c r="TX154" s="14"/>
      <c r="TY154" s="14"/>
      <c r="TZ154" s="14"/>
      <c r="UA154" s="14"/>
      <c r="UB154" s="14"/>
      <c r="UC154" s="14"/>
      <c r="UD154" s="14"/>
      <c r="UE154" s="14"/>
      <c r="UF154" s="14"/>
      <c r="UG154" s="14"/>
      <c r="UH154" s="14"/>
      <c r="UI154" s="14"/>
      <c r="UJ154" s="14"/>
      <c r="UK154" s="14"/>
      <c r="UL154" s="14"/>
      <c r="UM154" s="14"/>
      <c r="UN154" s="14"/>
      <c r="UO154" s="14"/>
      <c r="UP154" s="14"/>
      <c r="UQ154" s="14"/>
      <c r="UR154" s="14"/>
      <c r="US154" s="14"/>
      <c r="UT154" s="14"/>
      <c r="UU154" s="14"/>
      <c r="UV154" s="14"/>
      <c r="UW154" s="14"/>
      <c r="UX154" s="14"/>
      <c r="UY154" s="14"/>
      <c r="UZ154" s="14"/>
      <c r="VA154" s="14"/>
      <c r="VB154" s="14"/>
      <c r="VC154" s="14"/>
      <c r="VD154" s="14"/>
      <c r="VE154" s="14"/>
      <c r="VF154" s="14"/>
      <c r="VG154" s="14"/>
      <c r="VH154" s="14"/>
      <c r="VI154" s="14"/>
      <c r="VJ154" s="14"/>
      <c r="VK154" s="14"/>
      <c r="VL154" s="14"/>
      <c r="VM154" s="14"/>
      <c r="VN154" s="14"/>
      <c r="VO154" s="14"/>
      <c r="VP154" s="14"/>
      <c r="VQ154" s="14"/>
      <c r="VR154" s="14"/>
      <c r="VS154" s="14"/>
      <c r="VT154" s="14"/>
      <c r="VU154" s="14"/>
      <c r="VV154" s="14"/>
      <c r="VW154" s="14"/>
      <c r="VX154" s="14"/>
      <c r="VY154" s="14"/>
      <c r="VZ154" s="14"/>
      <c r="WA154" s="14"/>
      <c r="WB154" s="14"/>
      <c r="WC154" s="14"/>
      <c r="WD154" s="14"/>
      <c r="WE154" s="14"/>
      <c r="WF154" s="14"/>
      <c r="WG154" s="14"/>
      <c r="WH154" s="14"/>
      <c r="WI154" s="14"/>
      <c r="WJ154" s="14"/>
      <c r="WK154" s="14"/>
      <c r="WL154" s="14"/>
      <c r="WM154" s="14"/>
      <c r="WN154" s="14"/>
      <c r="WO154" s="14"/>
      <c r="WP154" s="14"/>
      <c r="WQ154" s="14"/>
      <c r="WR154" s="14"/>
      <c r="WS154" s="14"/>
      <c r="WT154" s="14"/>
      <c r="WU154" s="14"/>
      <c r="WV154" s="14"/>
      <c r="WW154" s="14"/>
      <c r="WX154" s="14"/>
      <c r="WY154" s="14"/>
      <c r="WZ154" s="14"/>
      <c r="XA154" s="14"/>
      <c r="XB154" s="14"/>
      <c r="XC154" s="14"/>
      <c r="XD154" s="14"/>
      <c r="XE154" s="14"/>
      <c r="XF154" s="14"/>
      <c r="XG154" s="14"/>
      <c r="XH154" s="14"/>
      <c r="XI154" s="14"/>
      <c r="XJ154" s="14"/>
      <c r="XK154" s="14"/>
      <c r="XL154" s="14"/>
      <c r="XM154" s="14"/>
      <c r="XN154" s="14"/>
      <c r="XO154" s="14"/>
      <c r="XP154" s="14"/>
      <c r="XQ154" s="14"/>
      <c r="XR154" s="14"/>
      <c r="XS154" s="14"/>
      <c r="XT154" s="14"/>
      <c r="XU154" s="14"/>
      <c r="XV154" s="14"/>
      <c r="XW154" s="14"/>
      <c r="XX154" s="14"/>
      <c r="XY154" s="14"/>
      <c r="XZ154" s="14"/>
      <c r="YA154" s="14"/>
      <c r="YB154" s="14"/>
      <c r="YC154" s="14"/>
      <c r="YD154" s="14"/>
      <c r="YE154" s="14"/>
      <c r="YF154" s="14"/>
      <c r="YG154" s="14"/>
      <c r="YH154" s="14"/>
      <c r="YI154" s="14"/>
      <c r="YJ154" s="14"/>
      <c r="YK154" s="14"/>
      <c r="YL154" s="14"/>
      <c r="YM154" s="14"/>
      <c r="YN154" s="14"/>
      <c r="YO154" s="14"/>
      <c r="YP154" s="14"/>
      <c r="YQ154" s="14"/>
      <c r="YR154" s="14"/>
      <c r="YS154" s="14"/>
      <c r="YT154" s="14"/>
      <c r="YU154" s="14"/>
      <c r="YV154" s="14"/>
      <c r="YW154" s="14"/>
      <c r="YX154" s="14"/>
      <c r="YY154" s="14"/>
      <c r="YZ154" s="14"/>
      <c r="ZA154" s="14"/>
      <c r="ZB154" s="14"/>
      <c r="ZC154" s="14"/>
      <c r="ZD154" s="14"/>
      <c r="ZE154" s="14"/>
      <c r="ZF154" s="14"/>
      <c r="ZG154" s="14"/>
      <c r="ZH154" s="14"/>
      <c r="ZI154" s="14"/>
      <c r="ZJ154" s="14"/>
      <c r="ZK154" s="14"/>
      <c r="ZL154" s="14"/>
      <c r="ZM154" s="14"/>
      <c r="ZN154" s="14"/>
      <c r="ZO154" s="14"/>
      <c r="ZP154" s="14"/>
      <c r="ZQ154" s="14"/>
      <c r="ZR154" s="14"/>
      <c r="ZS154" s="14"/>
      <c r="ZT154" s="14"/>
      <c r="ZU154" s="14"/>
      <c r="ZV154" s="14"/>
      <c r="ZW154" s="14"/>
      <c r="ZX154" s="14"/>
      <c r="ZY154" s="14"/>
      <c r="ZZ154" s="14"/>
      <c r="AAA154" s="14"/>
      <c r="AAB154" s="14"/>
      <c r="AAC154" s="14"/>
      <c r="AAD154" s="14"/>
      <c r="AAE154" s="14"/>
      <c r="AAF154" s="14"/>
      <c r="AAG154" s="14"/>
      <c r="AAH154" s="14"/>
      <c r="AAI154" s="14"/>
      <c r="AAJ154" s="14"/>
      <c r="AAK154" s="14"/>
      <c r="AAL154" s="14"/>
      <c r="AAM154" s="14"/>
      <c r="AAN154" s="14"/>
      <c r="AAO154" s="14"/>
      <c r="AAP154" s="14"/>
      <c r="AAQ154" s="14"/>
      <c r="AAR154" s="14"/>
      <c r="AAS154" s="14"/>
      <c r="AAT154" s="14"/>
      <c r="AAU154" s="14"/>
      <c r="AAV154" s="14"/>
      <c r="AAW154" s="14"/>
      <c r="AAX154" s="14"/>
      <c r="AAY154" s="14"/>
      <c r="AAZ154" s="14"/>
      <c r="ABA154" s="14"/>
      <c r="ABB154" s="14"/>
      <c r="ABC154" s="14"/>
      <c r="ABD154" s="14"/>
      <c r="ABE154" s="14"/>
      <c r="ABF154" s="14"/>
      <c r="ABG154" s="14"/>
      <c r="ABH154" s="14"/>
      <c r="ABI154" s="14"/>
      <c r="ABJ154" s="14"/>
      <c r="ABK154" s="14"/>
      <c r="ABL154" s="14"/>
      <c r="ABM154" s="14"/>
      <c r="ABN154" s="14"/>
      <c r="ABO154" s="14"/>
      <c r="ABP154" s="14"/>
      <c r="ABQ154" s="14"/>
      <c r="ABR154" s="14"/>
      <c r="ABS154" s="14"/>
      <c r="ABT154" s="14"/>
      <c r="ABU154" s="14"/>
      <c r="ABV154" s="14"/>
      <c r="ABW154" s="14"/>
      <c r="ABX154" s="14"/>
      <c r="ABY154" s="14"/>
      <c r="ABZ154" s="14"/>
      <c r="ACA154" s="14"/>
      <c r="ACB154" s="14"/>
      <c r="ACC154" s="14"/>
      <c r="ACD154" s="14"/>
      <c r="ACE154" s="14"/>
      <c r="ACF154" s="14"/>
      <c r="ACG154" s="14"/>
      <c r="ACH154" s="14"/>
      <c r="ACI154" s="14"/>
      <c r="ACJ154" s="14"/>
      <c r="ACK154" s="14"/>
      <c r="ACL154" s="14"/>
      <c r="ACM154" s="14"/>
      <c r="ACN154" s="14"/>
      <c r="ACO154" s="14"/>
      <c r="ACP154" s="14"/>
      <c r="ACQ154" s="14"/>
      <c r="ACR154" s="14"/>
      <c r="ACS154" s="14"/>
      <c r="ACT154" s="14"/>
      <c r="ACU154" s="14"/>
      <c r="ACV154" s="14"/>
      <c r="ACW154" s="14"/>
      <c r="ACX154" s="14"/>
      <c r="ACY154" s="14"/>
      <c r="ACZ154" s="14"/>
      <c r="ADA154" s="14"/>
      <c r="ADB154" s="14"/>
      <c r="ADC154" s="14"/>
      <c r="ADD154" s="14"/>
      <c r="ADE154" s="14"/>
      <c r="ADF154" s="14"/>
      <c r="ADG154" s="14"/>
      <c r="ADH154" s="14"/>
      <c r="ADI154" s="14"/>
      <c r="ADJ154" s="14"/>
      <c r="ADK154" s="14"/>
      <c r="ADL154" s="14"/>
      <c r="ADM154" s="14"/>
      <c r="ADN154" s="14"/>
      <c r="ADO154" s="14"/>
      <c r="ADP154" s="14"/>
      <c r="ADQ154" s="14"/>
      <c r="ADR154" s="14"/>
      <c r="ADS154" s="14"/>
      <c r="ADT154" s="14"/>
      <c r="ADU154" s="14"/>
      <c r="ADV154" s="14"/>
      <c r="ADW154" s="14"/>
      <c r="ADX154" s="14"/>
      <c r="ADY154" s="14"/>
      <c r="ADZ154" s="14"/>
      <c r="AEA154" s="14"/>
      <c r="AEB154" s="14"/>
      <c r="AEC154" s="14"/>
      <c r="AED154" s="14"/>
      <c r="AEE154" s="14"/>
      <c r="AEF154" s="14"/>
      <c r="AEG154" s="14"/>
      <c r="AEH154" s="14"/>
      <c r="AEI154" s="14"/>
      <c r="AEJ154" s="14"/>
      <c r="AEK154" s="14"/>
      <c r="AEL154" s="14"/>
      <c r="AEM154" s="14"/>
      <c r="AEN154" s="14"/>
      <c r="AEO154" s="14"/>
      <c r="AEP154" s="14"/>
      <c r="AEQ154" s="14"/>
      <c r="AER154" s="14"/>
      <c r="AES154" s="14"/>
      <c r="AET154" s="14"/>
      <c r="AEU154" s="14"/>
      <c r="AEV154" s="14"/>
      <c r="AEW154" s="14"/>
      <c r="AEX154" s="14"/>
      <c r="AEY154" s="14"/>
      <c r="AEZ154" s="14"/>
      <c r="AFA154" s="14"/>
      <c r="AFB154" s="14"/>
      <c r="AFC154" s="14"/>
      <c r="AFD154" s="14"/>
      <c r="AFE154" s="14"/>
      <c r="AFF154" s="14"/>
      <c r="AFG154" s="14"/>
      <c r="AFH154" s="14"/>
      <c r="AFI154" s="14"/>
      <c r="AFJ154" s="14"/>
      <c r="AFK154" s="14"/>
      <c r="AFL154" s="14"/>
      <c r="AFM154" s="14"/>
      <c r="AFN154" s="14"/>
      <c r="AFO154" s="14"/>
      <c r="AFP154" s="14"/>
      <c r="AFQ154" s="14"/>
      <c r="AFR154" s="14"/>
      <c r="AFS154" s="14"/>
      <c r="AFT154" s="14"/>
      <c r="AFU154" s="14"/>
      <c r="AFV154" s="14"/>
      <c r="AFW154" s="14"/>
      <c r="AFX154" s="14"/>
      <c r="AFY154" s="14"/>
      <c r="AFZ154" s="14"/>
      <c r="AGA154" s="14"/>
      <c r="AGB154" s="14"/>
      <c r="AGC154" s="14"/>
      <c r="AGD154" s="14"/>
      <c r="AGE154" s="14"/>
      <c r="AGF154" s="14"/>
      <c r="AGG154" s="14"/>
      <c r="AGH154" s="14"/>
      <c r="AGI154" s="14"/>
      <c r="AGJ154" s="14"/>
      <c r="AGK154" s="14"/>
      <c r="AGL154" s="14"/>
      <c r="AGM154" s="14"/>
      <c r="AGN154" s="14"/>
      <c r="AGO154" s="14"/>
      <c r="AGP154" s="14"/>
      <c r="AGQ154" s="14"/>
      <c r="AGR154" s="14"/>
      <c r="AGS154" s="14"/>
      <c r="AGT154" s="14"/>
      <c r="AGU154" s="14"/>
      <c r="AGV154" s="14"/>
      <c r="AGW154" s="14"/>
      <c r="AGX154" s="14"/>
      <c r="AGY154" s="14"/>
      <c r="AGZ154" s="14"/>
      <c r="AHA154" s="14"/>
      <c r="AHB154" s="14"/>
      <c r="AHC154" s="14"/>
      <c r="AHD154" s="14"/>
      <c r="AHE154" s="14"/>
      <c r="AHF154" s="14"/>
      <c r="AHG154" s="14"/>
      <c r="AHH154" s="14"/>
      <c r="AHI154" s="14"/>
      <c r="AHJ154" s="14"/>
      <c r="AHK154" s="14"/>
      <c r="AHL154" s="14"/>
      <c r="AHM154" s="14"/>
      <c r="AHN154" s="14"/>
      <c r="AHO154" s="14"/>
      <c r="AHP154" s="14"/>
      <c r="AHQ154" s="14"/>
      <c r="AHR154" s="14"/>
      <c r="AHS154" s="14"/>
      <c r="AHT154" s="14"/>
      <c r="AHU154" s="14"/>
      <c r="AHV154" s="14"/>
      <c r="AHW154" s="14"/>
      <c r="AHX154" s="14"/>
      <c r="AHY154" s="14"/>
      <c r="AHZ154" s="14"/>
      <c r="AIA154" s="14"/>
      <c r="AIB154" s="14"/>
      <c r="AIC154" s="14"/>
      <c r="AID154" s="14"/>
      <c r="AIE154" s="14"/>
      <c r="AIF154" s="14"/>
      <c r="AIG154" s="14"/>
      <c r="AIH154" s="14"/>
      <c r="AII154" s="14"/>
      <c r="AIJ154" s="14"/>
      <c r="AIK154" s="14"/>
      <c r="AIL154" s="14"/>
      <c r="AIM154" s="14"/>
      <c r="AIN154" s="14"/>
      <c r="AIO154" s="14"/>
      <c r="AIP154" s="14"/>
      <c r="AIQ154" s="14"/>
      <c r="AIR154" s="14"/>
      <c r="AIS154" s="14"/>
      <c r="AIT154" s="14"/>
      <c r="AIU154" s="14"/>
      <c r="AIV154" s="14"/>
      <c r="AIW154" s="14"/>
      <c r="AIX154" s="14"/>
      <c r="AIY154" s="14"/>
      <c r="AIZ154" s="14"/>
      <c r="AJA154" s="14"/>
      <c r="AJB154" s="14"/>
      <c r="AJC154" s="14"/>
      <c r="AJD154" s="14"/>
      <c r="AJE154" s="14"/>
      <c r="AJF154" s="14"/>
      <c r="AJG154" s="14"/>
      <c r="AJH154" s="14"/>
      <c r="AJI154" s="14"/>
      <c r="AJJ154" s="14"/>
      <c r="AJK154" s="14"/>
      <c r="AJL154" s="14"/>
      <c r="AJM154" s="14"/>
      <c r="AJN154" s="14"/>
      <c r="AJO154" s="14"/>
      <c r="AJP154" s="14"/>
      <c r="AJQ154" s="14"/>
      <c r="AJR154" s="14"/>
      <c r="AJS154" s="14"/>
      <c r="AJT154" s="14"/>
      <c r="AJU154" s="14"/>
      <c r="AJV154" s="14"/>
      <c r="AJW154" s="14"/>
      <c r="AJX154" s="14"/>
      <c r="AJY154" s="14"/>
      <c r="AJZ154" s="14"/>
      <c r="AKA154" s="14"/>
      <c r="AKB154" s="14"/>
      <c r="AKC154" s="14"/>
      <c r="AKD154" s="14"/>
      <c r="AKE154" s="14"/>
      <c r="AKF154" s="14"/>
      <c r="AKG154" s="14"/>
      <c r="AKH154" s="14"/>
      <c r="AKI154" s="14"/>
      <c r="AKJ154" s="14"/>
      <c r="AKK154" s="14"/>
      <c r="AKL154" s="14"/>
      <c r="AKM154" s="14"/>
      <c r="AKN154" s="14"/>
      <c r="AKO154" s="14"/>
      <c r="AKP154" s="14"/>
      <c r="AKQ154" s="14"/>
      <c r="AKR154" s="14"/>
      <c r="AKS154" s="14"/>
      <c r="AKT154" s="14"/>
      <c r="AKU154" s="14"/>
      <c r="AKV154" s="14"/>
      <c r="AKW154" s="14"/>
      <c r="AKX154" s="14"/>
      <c r="AKY154" s="14"/>
      <c r="AKZ154" s="14"/>
      <c r="ALA154" s="14"/>
      <c r="ALB154" s="14"/>
      <c r="ALC154" s="14"/>
      <c r="ALD154" s="14"/>
      <c r="ALE154" s="14"/>
      <c r="ALF154" s="14"/>
      <c r="ALG154" s="14"/>
      <c r="ALH154" s="14"/>
      <c r="ALI154" s="14"/>
      <c r="ALJ154" s="14"/>
      <c r="ALK154" s="14"/>
      <c r="ALL154" s="14"/>
      <c r="ALM154" s="14"/>
      <c r="ALN154" s="14"/>
      <c r="ALO154" s="14"/>
      <c r="ALP154" s="14"/>
      <c r="ALQ154" s="14"/>
      <c r="ALR154" s="14"/>
      <c r="ALS154" s="14"/>
      <c r="ALT154" s="14"/>
      <c r="ALU154" s="14"/>
      <c r="ALV154" s="14"/>
      <c r="ALW154" s="14"/>
      <c r="ALX154" s="14"/>
      <c r="ALY154" s="14"/>
      <c r="ALZ154" s="14"/>
      <c r="AMA154" s="14"/>
      <c r="AMB154" s="14"/>
      <c r="AMC154" s="14"/>
      <c r="AMD154" s="14"/>
      <c r="AME154" s="14"/>
      <c r="AMF154" s="14"/>
      <c r="AMG154" s="14"/>
      <c r="AMH154" s="14"/>
      <c r="AMI154" s="14"/>
      <c r="AMJ154" s="14"/>
      <c r="AMK154" s="14"/>
      <c r="AML154" s="14"/>
      <c r="AMM154" s="14"/>
      <c r="AMN154" s="14"/>
      <c r="AMO154" s="14"/>
      <c r="AMP154" s="14"/>
      <c r="AMQ154" s="14"/>
      <c r="AMR154" s="14"/>
      <c r="AMS154" s="14"/>
      <c r="AMT154" s="14"/>
      <c r="AMU154" s="14"/>
      <c r="AMV154" s="14"/>
      <c r="AMW154" s="14"/>
      <c r="AMX154" s="14"/>
      <c r="AMY154" s="14"/>
      <c r="AMZ154" s="14"/>
      <c r="ANA154" s="14"/>
      <c r="ANB154" s="14"/>
      <c r="ANC154" s="14"/>
      <c r="AND154" s="14"/>
      <c r="ANE154" s="14"/>
      <c r="ANF154" s="14"/>
      <c r="ANG154" s="14"/>
      <c r="ANH154" s="14"/>
      <c r="ANI154" s="14"/>
      <c r="ANJ154" s="14"/>
      <c r="ANK154" s="14"/>
      <c r="ANL154" s="14"/>
      <c r="ANM154" s="14"/>
      <c r="ANN154" s="14"/>
      <c r="ANO154" s="14"/>
      <c r="ANP154" s="14"/>
      <c r="ANQ154" s="14"/>
      <c r="ANR154" s="14"/>
      <c r="ANS154" s="14"/>
      <c r="ANT154" s="14"/>
      <c r="ANU154" s="14"/>
      <c r="ANV154" s="14"/>
      <c r="ANW154" s="14"/>
      <c r="ANX154" s="14"/>
      <c r="ANY154" s="14"/>
      <c r="ANZ154" s="14"/>
      <c r="AOA154" s="14"/>
      <c r="AOB154" s="14"/>
      <c r="AOC154" s="14"/>
      <c r="AOD154" s="14"/>
      <c r="AOE154" s="14"/>
      <c r="AOF154" s="14"/>
      <c r="AOG154" s="14"/>
      <c r="AOH154" s="14"/>
      <c r="AOI154" s="14"/>
      <c r="AOJ154" s="14"/>
      <c r="AOK154" s="14"/>
      <c r="AOL154" s="14"/>
      <c r="AOM154" s="14"/>
      <c r="AON154" s="14"/>
      <c r="AOO154" s="14"/>
      <c r="AOP154" s="14"/>
      <c r="AOQ154" s="14"/>
      <c r="AOR154" s="14"/>
      <c r="AOS154" s="14"/>
      <c r="AOT154" s="14"/>
      <c r="AOU154" s="14"/>
      <c r="AOV154" s="14"/>
      <c r="AOW154" s="14"/>
      <c r="AOX154" s="14"/>
      <c r="AOY154" s="14"/>
      <c r="AOZ154" s="14"/>
      <c r="APA154" s="14"/>
      <c r="APB154" s="14"/>
      <c r="APC154" s="14"/>
      <c r="APD154" s="14"/>
      <c r="APE154" s="14"/>
      <c r="APF154" s="14"/>
      <c r="APG154" s="14"/>
      <c r="APH154" s="14"/>
      <c r="API154" s="14"/>
      <c r="APJ154" s="14"/>
      <c r="APK154" s="14"/>
      <c r="APL154" s="14"/>
      <c r="APM154" s="14"/>
      <c r="APN154" s="14"/>
      <c r="APO154" s="14"/>
      <c r="APP154" s="14"/>
      <c r="APQ154" s="14"/>
      <c r="APR154" s="14"/>
      <c r="APS154" s="14"/>
      <c r="APT154" s="14"/>
      <c r="APU154" s="14"/>
      <c r="APV154" s="14"/>
      <c r="APW154" s="14"/>
      <c r="APX154" s="14"/>
      <c r="APY154" s="14"/>
      <c r="APZ154" s="14"/>
      <c r="AQA154" s="14"/>
      <c r="AQB154" s="14"/>
      <c r="AQC154" s="14"/>
      <c r="AQD154" s="14"/>
      <c r="AQE154" s="14"/>
      <c r="AQF154" s="14"/>
      <c r="AQG154" s="14"/>
      <c r="AQH154" s="14"/>
      <c r="AQI154" s="14"/>
      <c r="AQJ154" s="14"/>
      <c r="AQK154" s="14"/>
      <c r="AQL154" s="14"/>
      <c r="AQM154" s="14"/>
      <c r="AQN154" s="14"/>
      <c r="AQO154" s="14"/>
      <c r="AQP154" s="14"/>
      <c r="AQQ154" s="14"/>
      <c r="AQR154" s="14"/>
      <c r="AQS154" s="14"/>
      <c r="AQT154" s="14"/>
      <c r="AQU154" s="14"/>
      <c r="AQV154" s="14"/>
      <c r="AQW154" s="14"/>
      <c r="AQX154" s="14"/>
      <c r="AQY154" s="14"/>
      <c r="AQZ154" s="14"/>
      <c r="ARA154" s="14"/>
      <c r="ARB154" s="14"/>
      <c r="ARC154" s="14"/>
      <c r="ARD154" s="14"/>
      <c r="ARE154" s="14"/>
      <c r="ARF154" s="14"/>
      <c r="ARG154" s="14"/>
      <c r="ARH154" s="14"/>
      <c r="ARI154" s="14"/>
      <c r="ARJ154" s="14"/>
      <c r="ARK154" s="14"/>
      <c r="ARL154" s="14"/>
      <c r="ARM154" s="14"/>
      <c r="ARN154" s="14"/>
      <c r="ARO154" s="14"/>
      <c r="ARP154" s="14"/>
      <c r="ARQ154" s="14"/>
      <c r="ARR154" s="14"/>
      <c r="ARS154" s="14"/>
      <c r="ART154" s="14"/>
      <c r="ARU154" s="14"/>
      <c r="ARV154" s="14"/>
      <c r="ARW154" s="14"/>
      <c r="ARX154" s="14"/>
      <c r="ARY154" s="14"/>
      <c r="ARZ154" s="14"/>
      <c r="ASA154" s="14"/>
      <c r="ASB154" s="14"/>
      <c r="ASC154" s="14"/>
      <c r="ASD154" s="14"/>
      <c r="ASE154" s="14"/>
      <c r="ASF154" s="14"/>
      <c r="ASG154" s="14"/>
      <c r="ASH154" s="14"/>
      <c r="ASI154" s="14"/>
      <c r="ASJ154" s="14"/>
      <c r="ASK154" s="14"/>
      <c r="ASL154" s="14"/>
      <c r="ASM154" s="14"/>
      <c r="ASN154" s="14"/>
      <c r="ASO154" s="14"/>
      <c r="ASP154" s="14"/>
      <c r="ASQ154" s="14"/>
      <c r="ASR154" s="14"/>
      <c r="ASS154" s="14"/>
      <c r="AST154" s="14"/>
      <c r="ASU154" s="14"/>
      <c r="ASV154" s="14"/>
      <c r="ASW154" s="14"/>
      <c r="ASX154" s="14"/>
      <c r="ASY154" s="14"/>
      <c r="ASZ154" s="14"/>
      <c r="ATA154" s="14"/>
      <c r="ATB154" s="14"/>
      <c r="ATC154" s="14"/>
      <c r="ATD154" s="14"/>
      <c r="ATE154" s="14"/>
      <c r="ATF154" s="14"/>
      <c r="ATG154" s="14"/>
      <c r="ATH154" s="14"/>
      <c r="ATI154" s="14"/>
      <c r="ATJ154" s="14"/>
      <c r="ATK154" s="14"/>
      <c r="ATL154" s="14"/>
      <c r="ATM154" s="14"/>
      <c r="ATN154" s="14"/>
      <c r="ATO154" s="14"/>
      <c r="ATP154" s="14"/>
      <c r="ATQ154" s="14"/>
      <c r="ATR154" s="14"/>
      <c r="ATS154" s="14"/>
      <c r="ATT154" s="14"/>
      <c r="ATU154" s="14"/>
      <c r="ATV154" s="14"/>
      <c r="ATW154" s="14"/>
      <c r="ATX154" s="14"/>
      <c r="ATY154" s="14"/>
      <c r="ATZ154" s="14"/>
      <c r="AUA154" s="14"/>
      <c r="AUB154" s="14"/>
      <c r="AUC154" s="14"/>
      <c r="AUD154" s="14"/>
      <c r="AUE154" s="14"/>
      <c r="AUF154" s="14"/>
      <c r="AUG154" s="14"/>
      <c r="AUH154" s="14"/>
      <c r="AUI154" s="14"/>
      <c r="AUJ154" s="14"/>
      <c r="AUK154" s="14"/>
      <c r="AUL154" s="14"/>
      <c r="AUM154" s="14"/>
      <c r="AUN154" s="14"/>
      <c r="AUO154" s="14"/>
      <c r="AUP154" s="14"/>
      <c r="AUQ154" s="14"/>
      <c r="AUR154" s="14"/>
      <c r="AUS154" s="14"/>
      <c r="AUT154" s="14"/>
      <c r="AUU154" s="14"/>
      <c r="AUV154" s="14"/>
      <c r="AUW154" s="14"/>
      <c r="AUX154" s="14"/>
      <c r="AUY154" s="14"/>
      <c r="AUZ154" s="14"/>
      <c r="AVA154" s="14"/>
      <c r="AVB154" s="14"/>
      <c r="AVC154" s="14"/>
      <c r="AVD154" s="14"/>
      <c r="AVE154" s="14"/>
      <c r="AVF154" s="14"/>
      <c r="AVG154" s="14"/>
      <c r="AVH154" s="14"/>
      <c r="AVI154" s="14"/>
      <c r="AVJ154" s="14"/>
      <c r="AVK154" s="14"/>
      <c r="AVL154" s="14"/>
      <c r="AVM154" s="14"/>
      <c r="AVN154" s="14"/>
      <c r="AVO154" s="14"/>
      <c r="AVP154" s="14"/>
      <c r="AVQ154" s="14"/>
      <c r="AVR154" s="14"/>
      <c r="AVS154" s="14"/>
      <c r="AVT154" s="14"/>
      <c r="AVU154" s="14"/>
      <c r="AVV154" s="14"/>
      <c r="AVW154" s="14"/>
      <c r="AVX154" s="14"/>
      <c r="AVY154" s="14"/>
      <c r="AVZ154" s="14"/>
      <c r="AWA154" s="14"/>
      <c r="AWB154" s="14"/>
      <c r="AWC154" s="14"/>
      <c r="AWD154" s="14"/>
      <c r="AWE154" s="14"/>
      <c r="AWF154" s="14"/>
      <c r="AWG154" s="14"/>
      <c r="AWH154" s="14"/>
      <c r="AWI154" s="14"/>
      <c r="AWJ154" s="14"/>
      <c r="AWK154" s="14"/>
      <c r="AWL154" s="14"/>
      <c r="AWM154" s="14"/>
      <c r="AWN154" s="14"/>
      <c r="AWO154" s="14"/>
      <c r="AWP154" s="14"/>
      <c r="AWQ154" s="14"/>
      <c r="AWR154" s="14"/>
      <c r="AWS154" s="14"/>
      <c r="AWT154" s="14"/>
      <c r="AWU154" s="14"/>
      <c r="AWV154" s="14"/>
      <c r="AWW154" s="14"/>
      <c r="AWX154" s="14"/>
      <c r="AWY154" s="14"/>
      <c r="AWZ154" s="14"/>
      <c r="AXA154" s="14"/>
      <c r="AXB154" s="14"/>
      <c r="AXC154" s="14"/>
      <c r="AXD154" s="14"/>
      <c r="AXE154" s="14"/>
      <c r="AXF154" s="14"/>
      <c r="AXG154" s="14"/>
      <c r="AXH154" s="14"/>
      <c r="AXI154" s="14"/>
      <c r="AXJ154" s="14"/>
      <c r="AXK154" s="14"/>
      <c r="AXL154" s="14"/>
      <c r="AXM154" s="14"/>
      <c r="AXN154" s="14"/>
      <c r="AXO154" s="14"/>
      <c r="AXP154" s="14"/>
      <c r="AXQ154" s="14"/>
      <c r="AXR154" s="14"/>
      <c r="AXS154" s="14"/>
      <c r="AXT154" s="14"/>
      <c r="AXU154" s="14"/>
      <c r="AXV154" s="14"/>
      <c r="AXW154" s="14"/>
      <c r="AXX154" s="14"/>
      <c r="AXY154" s="14"/>
      <c r="AXZ154" s="14"/>
      <c r="AYA154" s="14"/>
      <c r="AYB154" s="14"/>
      <c r="AYC154" s="14"/>
      <c r="AYD154" s="14"/>
      <c r="AYE154" s="14"/>
      <c r="AYF154" s="14"/>
      <c r="AYG154" s="14"/>
      <c r="AYH154" s="14"/>
      <c r="AYI154" s="14"/>
      <c r="AYJ154" s="14"/>
      <c r="AYK154" s="14"/>
      <c r="AYL154" s="14"/>
      <c r="AYM154" s="14"/>
      <c r="AYN154" s="14"/>
      <c r="AYO154" s="14"/>
      <c r="AYP154" s="14"/>
      <c r="AYQ154" s="14"/>
      <c r="AYR154" s="14"/>
      <c r="AYS154" s="14"/>
      <c r="AYT154" s="14"/>
      <c r="AYU154" s="14"/>
      <c r="AYV154" s="14"/>
      <c r="AYW154" s="14"/>
      <c r="AYX154" s="14"/>
      <c r="AYY154" s="14"/>
      <c r="AYZ154" s="14"/>
      <c r="AZA154" s="14"/>
      <c r="AZB154" s="14"/>
      <c r="AZC154" s="14"/>
      <c r="AZD154" s="14"/>
      <c r="AZE154" s="14"/>
      <c r="AZF154" s="14"/>
      <c r="AZG154" s="14"/>
      <c r="AZH154" s="14"/>
      <c r="AZI154" s="14"/>
      <c r="AZJ154" s="14"/>
      <c r="AZK154" s="14"/>
      <c r="AZL154" s="14"/>
      <c r="AZM154" s="14"/>
      <c r="AZN154" s="14"/>
      <c r="AZO154" s="14"/>
      <c r="AZP154" s="14"/>
      <c r="AZQ154" s="14"/>
      <c r="AZR154" s="14"/>
      <c r="AZS154" s="14"/>
      <c r="AZT154" s="14"/>
      <c r="AZU154" s="14"/>
      <c r="AZV154" s="14"/>
      <c r="AZW154" s="14"/>
      <c r="AZX154" s="14"/>
      <c r="AZY154" s="14"/>
      <c r="AZZ154" s="14"/>
      <c r="BAA154" s="14"/>
      <c r="BAB154" s="14"/>
      <c r="BAC154" s="14"/>
      <c r="BAD154" s="14"/>
      <c r="BAE154" s="14"/>
      <c r="BAF154" s="14"/>
      <c r="BAG154" s="14"/>
      <c r="BAH154" s="14"/>
      <c r="BAI154" s="14"/>
      <c r="BAJ154" s="14"/>
      <c r="BAK154" s="14"/>
      <c r="BAL154" s="14"/>
      <c r="BAM154" s="14"/>
      <c r="BAN154" s="14"/>
      <c r="BAO154" s="14"/>
      <c r="BAP154" s="14"/>
      <c r="BAQ154" s="14"/>
      <c r="BAR154" s="14"/>
      <c r="BAS154" s="14"/>
      <c r="BAT154" s="14"/>
      <c r="BAU154" s="14"/>
      <c r="BAV154" s="14"/>
      <c r="BAW154" s="14"/>
      <c r="BAX154" s="14"/>
      <c r="BAY154" s="14"/>
      <c r="BAZ154" s="14"/>
      <c r="BBA154" s="14"/>
      <c r="BBB154" s="14"/>
      <c r="BBC154" s="14"/>
      <c r="BBD154" s="14"/>
      <c r="BBE154" s="14"/>
      <c r="BBF154" s="14"/>
      <c r="BBG154" s="14"/>
      <c r="BBH154" s="14"/>
      <c r="BBI154" s="14"/>
      <c r="BBJ154" s="14"/>
      <c r="BBK154" s="14"/>
      <c r="BBL154" s="14"/>
      <c r="BBM154" s="14"/>
      <c r="BBN154" s="14"/>
      <c r="BBO154" s="14"/>
      <c r="BBP154" s="14"/>
      <c r="BBQ154" s="14"/>
      <c r="BBR154" s="14"/>
      <c r="BBS154" s="14"/>
      <c r="BBT154" s="14"/>
      <c r="BBU154" s="14"/>
      <c r="BBV154" s="14"/>
      <c r="BBW154" s="14"/>
      <c r="BBX154" s="14"/>
      <c r="BBY154" s="14"/>
      <c r="BBZ154" s="14"/>
      <c r="BCA154" s="14"/>
      <c r="BCB154" s="14"/>
      <c r="BCC154" s="14"/>
      <c r="BCD154" s="14"/>
      <c r="BCE154" s="14"/>
      <c r="BCF154" s="14"/>
      <c r="BCG154" s="14"/>
      <c r="BCH154" s="14"/>
      <c r="BCI154" s="14"/>
      <c r="BCJ154" s="14"/>
      <c r="BCK154" s="14"/>
      <c r="BCL154" s="14"/>
      <c r="BCM154" s="14"/>
      <c r="BCN154" s="14"/>
      <c r="BCO154" s="14"/>
      <c r="BCP154" s="14"/>
      <c r="BCQ154" s="14"/>
      <c r="BCR154" s="14"/>
      <c r="BCS154" s="14"/>
      <c r="BCT154" s="14"/>
      <c r="BCU154" s="14"/>
      <c r="BCV154" s="14"/>
      <c r="BCW154" s="14"/>
      <c r="BCX154" s="14"/>
      <c r="BCY154" s="14"/>
      <c r="BCZ154" s="14"/>
      <c r="BDA154" s="14"/>
      <c r="BDB154" s="14"/>
      <c r="BDC154" s="14"/>
      <c r="BDD154" s="14"/>
      <c r="BDE154" s="14"/>
      <c r="BDF154" s="14"/>
      <c r="BDG154" s="14"/>
      <c r="BDH154" s="14"/>
      <c r="BDI154" s="14"/>
      <c r="BDJ154" s="14"/>
      <c r="BDK154" s="14"/>
      <c r="BDL154" s="14"/>
      <c r="BDM154" s="14"/>
      <c r="BDN154" s="14"/>
      <c r="BDO154" s="14"/>
      <c r="BDP154" s="14"/>
      <c r="BDQ154" s="14"/>
      <c r="BDR154" s="14"/>
      <c r="BDS154" s="14"/>
      <c r="BDT154" s="14"/>
      <c r="BDU154" s="14"/>
      <c r="BDV154" s="14"/>
      <c r="BDW154" s="14"/>
      <c r="BDX154" s="14"/>
      <c r="BDY154" s="14"/>
      <c r="BDZ154" s="14"/>
      <c r="BEA154" s="14"/>
      <c r="BEB154" s="14"/>
      <c r="BEC154" s="14"/>
      <c r="BED154" s="14"/>
      <c r="BEE154" s="14"/>
      <c r="BEF154" s="14"/>
      <c r="BEG154" s="14"/>
      <c r="BEH154" s="14"/>
      <c r="BEI154" s="14"/>
      <c r="BEJ154" s="14"/>
      <c r="BEK154" s="14"/>
      <c r="BEL154" s="14"/>
      <c r="BEM154" s="14"/>
      <c r="BEN154" s="14"/>
      <c r="BEO154" s="14"/>
      <c r="BEP154" s="14"/>
      <c r="BEQ154" s="14"/>
      <c r="BER154" s="14"/>
      <c r="BES154" s="14"/>
      <c r="BET154" s="14"/>
      <c r="BEU154" s="14"/>
      <c r="BEV154" s="14"/>
      <c r="BEW154" s="14"/>
      <c r="BEX154" s="14"/>
      <c r="BEY154" s="14"/>
      <c r="BEZ154" s="14"/>
      <c r="BFA154" s="14"/>
      <c r="BFB154" s="14"/>
      <c r="BFC154" s="14"/>
      <c r="BFD154" s="14"/>
      <c r="BFE154" s="14"/>
      <c r="BFF154" s="14"/>
      <c r="BFG154" s="14"/>
      <c r="BFH154" s="14"/>
      <c r="BFI154" s="14"/>
      <c r="BFJ154" s="14"/>
      <c r="BFK154" s="14"/>
      <c r="BFL154" s="14"/>
      <c r="BFM154" s="14"/>
      <c r="BFN154" s="14"/>
      <c r="BFO154" s="14"/>
      <c r="BFP154" s="14"/>
      <c r="BFQ154" s="14"/>
      <c r="BFR154" s="14"/>
      <c r="BFS154" s="14"/>
      <c r="BFT154" s="14"/>
      <c r="BFU154" s="14"/>
      <c r="BFV154" s="14"/>
      <c r="BFW154" s="14"/>
      <c r="BFX154" s="14"/>
      <c r="BFY154" s="14"/>
      <c r="BFZ154" s="14"/>
      <c r="BGA154" s="14"/>
      <c r="BGB154" s="14"/>
      <c r="BGC154" s="14"/>
      <c r="BGD154" s="14"/>
      <c r="BGE154" s="14"/>
      <c r="BGF154" s="14"/>
      <c r="BGG154" s="14"/>
      <c r="BGH154" s="14"/>
      <c r="BGI154" s="14"/>
      <c r="BGJ154" s="14"/>
      <c r="BGK154" s="14"/>
      <c r="BGL154" s="14"/>
      <c r="BGM154" s="14"/>
      <c r="BGN154" s="14"/>
      <c r="BGO154" s="14"/>
      <c r="BGP154" s="14"/>
      <c r="BGQ154" s="14"/>
      <c r="BGR154" s="14"/>
      <c r="BGS154" s="14"/>
      <c r="BGT154" s="14"/>
      <c r="BGU154" s="14"/>
      <c r="BGV154" s="14"/>
      <c r="BGW154" s="14"/>
      <c r="BGX154" s="14"/>
      <c r="BGY154" s="14"/>
      <c r="BGZ154" s="14"/>
      <c r="BHA154" s="14"/>
      <c r="BHB154" s="14"/>
      <c r="BHC154" s="14"/>
      <c r="BHD154" s="14"/>
      <c r="BHE154" s="14"/>
      <c r="BHF154" s="14"/>
      <c r="BHG154" s="14"/>
      <c r="BHH154" s="14"/>
      <c r="BHI154" s="14"/>
      <c r="BHJ154" s="14"/>
      <c r="BHK154" s="14"/>
      <c r="BHL154" s="14"/>
      <c r="BHM154" s="14"/>
      <c r="BHN154" s="14"/>
      <c r="BHO154" s="14"/>
      <c r="BHP154" s="14"/>
      <c r="BHQ154" s="14"/>
      <c r="BHR154" s="14"/>
      <c r="BHS154" s="14"/>
      <c r="BHT154" s="14"/>
      <c r="BHU154" s="14"/>
      <c r="BHV154" s="14"/>
      <c r="BHW154" s="14"/>
      <c r="BHX154" s="14"/>
      <c r="BHY154" s="14"/>
      <c r="BHZ154" s="14"/>
      <c r="BIA154" s="14"/>
      <c r="BIB154" s="14"/>
      <c r="BIC154" s="14"/>
      <c r="BID154" s="14"/>
      <c r="BIE154" s="14"/>
      <c r="BIF154" s="14"/>
      <c r="BIG154" s="14"/>
      <c r="BIH154" s="14"/>
      <c r="BII154" s="14"/>
      <c r="BIJ154" s="14"/>
      <c r="BIK154" s="14"/>
      <c r="BIL154" s="14"/>
      <c r="BIM154" s="14"/>
      <c r="BIN154" s="14"/>
      <c r="BIO154" s="14"/>
      <c r="BIP154" s="14"/>
      <c r="BIQ154" s="14"/>
      <c r="BIR154" s="14"/>
      <c r="BIS154" s="14"/>
      <c r="BIT154" s="14"/>
      <c r="BIU154" s="14"/>
      <c r="BIV154" s="14"/>
      <c r="BIW154" s="14"/>
      <c r="BIX154" s="14"/>
      <c r="BIY154" s="14"/>
      <c r="BIZ154" s="14"/>
      <c r="BJA154" s="14"/>
      <c r="BJB154" s="14"/>
      <c r="BJC154" s="14"/>
      <c r="BJD154" s="14"/>
      <c r="BJE154" s="14"/>
      <c r="BJF154" s="14"/>
      <c r="BJG154" s="14"/>
      <c r="BJH154" s="14"/>
      <c r="BJI154" s="14"/>
      <c r="BJJ154" s="14"/>
      <c r="BJK154" s="14"/>
      <c r="BJL154" s="14"/>
      <c r="BJM154" s="14"/>
      <c r="BJN154" s="14"/>
      <c r="BJO154" s="14"/>
      <c r="BJP154" s="14"/>
      <c r="BJQ154" s="14"/>
      <c r="BJR154" s="14"/>
      <c r="BJS154" s="14"/>
      <c r="BJT154" s="14"/>
      <c r="BJU154" s="14"/>
      <c r="BJV154" s="14"/>
      <c r="BJW154" s="14"/>
      <c r="BJX154" s="14"/>
      <c r="BJY154" s="14"/>
      <c r="BJZ154" s="14"/>
      <c r="BKA154" s="14"/>
      <c r="BKB154" s="14"/>
      <c r="BKC154" s="14"/>
      <c r="BKD154" s="14"/>
      <c r="BKE154" s="14"/>
      <c r="BKF154" s="14"/>
      <c r="BKG154" s="14"/>
      <c r="BKH154" s="14"/>
      <c r="BKI154" s="14"/>
      <c r="BKJ154" s="14"/>
      <c r="BKK154" s="14"/>
      <c r="BKL154" s="14"/>
      <c r="BKM154" s="14"/>
      <c r="BKN154" s="14"/>
      <c r="BKO154" s="14"/>
      <c r="BKP154" s="14"/>
      <c r="BKQ154" s="14"/>
      <c r="BKR154" s="14"/>
      <c r="BKS154" s="14"/>
      <c r="BKT154" s="14"/>
      <c r="BKU154" s="14"/>
      <c r="BKV154" s="14"/>
      <c r="BKW154" s="14"/>
      <c r="BKX154" s="14"/>
      <c r="BKY154" s="14"/>
      <c r="BKZ154" s="14"/>
      <c r="BLA154" s="14"/>
      <c r="BLB154" s="14"/>
      <c r="BLC154" s="14"/>
      <c r="BLD154" s="14"/>
      <c r="BLE154" s="14"/>
      <c r="BLF154" s="14"/>
      <c r="BLG154" s="14"/>
      <c r="BLH154" s="14"/>
      <c r="BLI154" s="14"/>
      <c r="BLJ154" s="14"/>
      <c r="BLK154" s="14"/>
      <c r="BLL154" s="14"/>
      <c r="BLM154" s="14"/>
      <c r="BLN154" s="14"/>
      <c r="BLO154" s="14"/>
      <c r="BLP154" s="14"/>
      <c r="BLQ154" s="14"/>
      <c r="BLR154" s="14"/>
      <c r="BLS154" s="14"/>
      <c r="BLT154" s="14"/>
      <c r="BLU154" s="14"/>
      <c r="BLV154" s="14"/>
      <c r="BLW154" s="14"/>
      <c r="BLX154" s="14"/>
      <c r="BLY154" s="14"/>
      <c r="BLZ154" s="14"/>
      <c r="BMA154" s="14"/>
      <c r="BMB154" s="14"/>
      <c r="BMC154" s="14"/>
      <c r="BMD154" s="14"/>
      <c r="BME154" s="14"/>
      <c r="BMF154" s="14"/>
      <c r="BMG154" s="14"/>
      <c r="BMH154" s="14"/>
      <c r="BMI154" s="14"/>
      <c r="BMJ154" s="14"/>
      <c r="BMK154" s="14"/>
      <c r="BML154" s="14"/>
      <c r="BMM154" s="14"/>
      <c r="BMN154" s="14"/>
      <c r="BMO154" s="14"/>
      <c r="BMP154" s="14"/>
      <c r="BMQ154" s="14"/>
      <c r="BMR154" s="14"/>
      <c r="BMS154" s="14"/>
      <c r="BMT154" s="14"/>
      <c r="BMU154" s="14"/>
      <c r="BMV154" s="14"/>
      <c r="BMW154" s="14"/>
      <c r="BMX154" s="14"/>
      <c r="BMY154" s="14"/>
      <c r="BMZ154" s="14"/>
      <c r="BNA154" s="14"/>
      <c r="BNB154" s="14"/>
      <c r="BNC154" s="14"/>
      <c r="BND154" s="14"/>
      <c r="BNE154" s="14"/>
      <c r="BNF154" s="14"/>
      <c r="BNG154" s="14"/>
      <c r="BNH154" s="14"/>
      <c r="BNI154" s="14"/>
      <c r="BNJ154" s="14"/>
      <c r="BNK154" s="14"/>
      <c r="BNL154" s="14"/>
      <c r="BNM154" s="14"/>
      <c r="BNN154" s="14"/>
      <c r="BNO154" s="14"/>
      <c r="BNP154" s="14"/>
      <c r="BNQ154" s="14"/>
      <c r="BNR154" s="14"/>
      <c r="BNS154" s="14"/>
      <c r="BNT154" s="14"/>
      <c r="BNU154" s="14"/>
      <c r="BNV154" s="14"/>
      <c r="BNW154" s="14"/>
      <c r="BNX154" s="14"/>
      <c r="BNY154" s="14"/>
      <c r="BNZ154" s="14"/>
      <c r="BOA154" s="14"/>
      <c r="BOB154" s="14"/>
      <c r="BOC154" s="14"/>
      <c r="BOD154" s="14"/>
      <c r="BOE154" s="14"/>
      <c r="BOF154" s="14"/>
      <c r="BOG154" s="14"/>
      <c r="BOH154" s="14"/>
      <c r="BOI154" s="14"/>
      <c r="BOJ154" s="14"/>
      <c r="BOK154" s="14"/>
      <c r="BOL154" s="14"/>
      <c r="BOM154" s="14"/>
      <c r="BON154" s="14"/>
      <c r="BOO154" s="14"/>
      <c r="BOP154" s="14"/>
      <c r="BOQ154" s="14"/>
      <c r="BOR154" s="14"/>
      <c r="BOS154" s="14"/>
      <c r="BOT154" s="14"/>
      <c r="BOU154" s="14"/>
      <c r="BOV154" s="14"/>
      <c r="BOW154" s="14"/>
      <c r="BOX154" s="14"/>
      <c r="BOY154" s="14"/>
      <c r="BOZ154" s="14"/>
      <c r="BPA154" s="14"/>
      <c r="BPB154" s="14"/>
      <c r="BPC154" s="14"/>
      <c r="BPD154" s="14"/>
      <c r="BPE154" s="14"/>
      <c r="BPF154" s="14"/>
      <c r="BPG154" s="14"/>
      <c r="BPH154" s="14"/>
      <c r="BPI154" s="14"/>
      <c r="BPJ154" s="14"/>
      <c r="BPK154" s="14"/>
      <c r="BPL154" s="14"/>
      <c r="BPM154" s="14"/>
      <c r="BPN154" s="14"/>
      <c r="BPO154" s="14"/>
      <c r="BPP154" s="14"/>
      <c r="BPQ154" s="14"/>
      <c r="BPR154" s="14"/>
      <c r="BPS154" s="14"/>
      <c r="BPT154" s="14"/>
      <c r="BPU154" s="14"/>
      <c r="BPV154" s="14"/>
      <c r="BPW154" s="14"/>
      <c r="BPX154" s="14"/>
      <c r="BPY154" s="14"/>
      <c r="BPZ154" s="14"/>
      <c r="BQA154" s="14"/>
      <c r="BQB154" s="14"/>
      <c r="BQC154" s="14"/>
      <c r="BQD154" s="14"/>
      <c r="BQE154" s="14"/>
      <c r="BQF154" s="14"/>
      <c r="BQG154" s="14"/>
      <c r="BQH154" s="14"/>
      <c r="BQI154" s="14"/>
      <c r="BQJ154" s="14"/>
      <c r="BQK154" s="14"/>
      <c r="BQL154" s="14"/>
      <c r="BQM154" s="14"/>
      <c r="BQN154" s="14"/>
      <c r="BQO154" s="14"/>
      <c r="BQP154" s="14"/>
      <c r="BQQ154" s="14"/>
      <c r="BQR154" s="14"/>
      <c r="BQS154" s="14"/>
      <c r="BQT154" s="14"/>
      <c r="BQU154" s="14"/>
      <c r="BQV154" s="14"/>
      <c r="BQW154" s="14"/>
      <c r="BQX154" s="14"/>
      <c r="BQY154" s="14"/>
      <c r="BQZ154" s="14"/>
      <c r="BRA154" s="14"/>
      <c r="BRB154" s="14"/>
      <c r="BRC154" s="14"/>
      <c r="BRD154" s="14"/>
      <c r="BRE154" s="14"/>
      <c r="BRF154" s="14"/>
      <c r="BRG154" s="14"/>
      <c r="BRH154" s="14"/>
      <c r="BRI154" s="14"/>
      <c r="BRJ154" s="14"/>
      <c r="BRK154" s="14"/>
      <c r="BRL154" s="14"/>
      <c r="BRM154" s="14"/>
      <c r="BRN154" s="14"/>
      <c r="BRO154" s="14"/>
      <c r="BRP154" s="14"/>
      <c r="BRQ154" s="14"/>
      <c r="BRR154" s="14"/>
      <c r="BRS154" s="14"/>
      <c r="BRT154" s="14"/>
      <c r="BRU154" s="14"/>
      <c r="BRV154" s="14"/>
      <c r="BRW154" s="14"/>
      <c r="BRX154" s="14"/>
      <c r="BRY154" s="14"/>
      <c r="BRZ154" s="14"/>
      <c r="BSA154" s="14"/>
      <c r="BSB154" s="14"/>
      <c r="BSC154" s="14"/>
      <c r="BSD154" s="14"/>
      <c r="BSE154" s="14"/>
      <c r="BSF154" s="14"/>
      <c r="BSG154" s="14"/>
      <c r="BSH154" s="14"/>
      <c r="BSI154" s="14"/>
      <c r="BSJ154" s="14"/>
      <c r="BSK154" s="14"/>
      <c r="BSL154" s="14"/>
      <c r="BSM154" s="14"/>
      <c r="BSN154" s="14"/>
      <c r="BSO154" s="14"/>
      <c r="BSP154" s="14"/>
      <c r="BSQ154" s="14"/>
      <c r="BSR154" s="14"/>
      <c r="BSS154" s="14"/>
      <c r="BST154" s="14"/>
      <c r="BSU154" s="14"/>
      <c r="BSV154" s="14"/>
      <c r="BSW154" s="14"/>
      <c r="BSX154" s="14"/>
      <c r="BSY154" s="14"/>
      <c r="BSZ154" s="14"/>
      <c r="BTA154" s="14"/>
      <c r="BTB154" s="14"/>
      <c r="BTC154" s="14"/>
      <c r="BTD154" s="14"/>
      <c r="BTE154" s="14"/>
      <c r="BTF154" s="14"/>
      <c r="BTG154" s="14"/>
      <c r="BTH154" s="14"/>
      <c r="BTI154" s="14"/>
      <c r="BTJ154" s="14"/>
      <c r="BTK154" s="14"/>
      <c r="BTL154" s="14"/>
      <c r="BTM154" s="14"/>
      <c r="BTN154" s="14"/>
      <c r="BTO154" s="14"/>
      <c r="BTP154" s="14"/>
      <c r="BTQ154" s="14"/>
      <c r="BTR154" s="14"/>
      <c r="BTS154" s="14"/>
      <c r="BTT154" s="14"/>
      <c r="BTU154" s="14"/>
      <c r="BTV154" s="14"/>
      <c r="BTW154" s="14"/>
      <c r="BTX154" s="14"/>
      <c r="BTY154" s="14"/>
      <c r="BTZ154" s="14"/>
      <c r="BUA154" s="14"/>
      <c r="BUB154" s="14"/>
      <c r="BUC154" s="14"/>
      <c r="BUD154" s="14"/>
      <c r="BUE154" s="14"/>
      <c r="BUF154" s="14"/>
      <c r="BUG154" s="14"/>
      <c r="BUH154" s="14"/>
      <c r="BUI154" s="14"/>
      <c r="BUJ154" s="14"/>
      <c r="BUK154" s="14"/>
      <c r="BUL154" s="14"/>
      <c r="BUM154" s="14"/>
      <c r="BUN154" s="14"/>
      <c r="BUO154" s="14"/>
      <c r="BUP154" s="14"/>
      <c r="BUQ154" s="14"/>
      <c r="BUR154" s="14"/>
      <c r="BUS154" s="14"/>
      <c r="BUT154" s="14"/>
      <c r="BUU154" s="14"/>
      <c r="BUV154" s="14"/>
      <c r="BUW154" s="14"/>
      <c r="BUX154" s="14"/>
      <c r="BUY154" s="14"/>
      <c r="BUZ154" s="14"/>
      <c r="BVA154" s="14"/>
      <c r="BVB154" s="14"/>
      <c r="BVC154" s="14"/>
      <c r="BVD154" s="14"/>
      <c r="BVE154" s="14"/>
      <c r="BVF154" s="14"/>
      <c r="BVG154" s="14"/>
      <c r="BVH154" s="14"/>
      <c r="BVI154" s="14"/>
      <c r="BVJ154" s="14"/>
      <c r="BVK154" s="14"/>
      <c r="BVL154" s="14"/>
      <c r="BVM154" s="14"/>
      <c r="BVN154" s="14"/>
      <c r="BVO154" s="14"/>
      <c r="BVP154" s="14"/>
      <c r="BVQ154" s="14"/>
      <c r="BVR154" s="14"/>
      <c r="BVS154" s="14"/>
      <c r="BVT154" s="14"/>
      <c r="BVU154" s="14"/>
      <c r="BVV154" s="14"/>
      <c r="BVW154" s="14"/>
      <c r="BVX154" s="14"/>
      <c r="BVY154" s="14"/>
      <c r="BVZ154" s="14"/>
      <c r="BWA154" s="14"/>
      <c r="BWB154" s="14"/>
      <c r="BWC154" s="14"/>
      <c r="BWD154" s="14"/>
      <c r="BWE154" s="14"/>
      <c r="BWF154" s="14"/>
      <c r="BWG154" s="14"/>
      <c r="BWH154" s="14"/>
      <c r="BWI154" s="14"/>
      <c r="BWJ154" s="14"/>
      <c r="BWK154" s="14"/>
      <c r="BWL154" s="14"/>
      <c r="BWM154" s="14"/>
      <c r="BWN154" s="14"/>
      <c r="BWO154" s="14"/>
      <c r="BWP154" s="14"/>
      <c r="BWQ154" s="14"/>
      <c r="BWR154" s="14"/>
      <c r="BWS154" s="14"/>
      <c r="BWT154" s="14"/>
      <c r="BWU154" s="14"/>
      <c r="BWV154" s="14"/>
      <c r="BWW154" s="14"/>
      <c r="BWX154" s="14"/>
      <c r="BWY154" s="14"/>
      <c r="BWZ154" s="14"/>
      <c r="BXA154" s="14"/>
      <c r="BXB154" s="14"/>
      <c r="BXC154" s="14"/>
      <c r="BXD154" s="14"/>
      <c r="BXE154" s="14"/>
      <c r="BXF154" s="14"/>
      <c r="BXG154" s="14"/>
      <c r="BXH154" s="14"/>
      <c r="BXI154" s="14"/>
      <c r="BXJ154" s="14"/>
      <c r="BXK154" s="14"/>
      <c r="BXL154" s="14"/>
      <c r="BXM154" s="14"/>
      <c r="BXN154" s="14"/>
      <c r="BXO154" s="14"/>
      <c r="BXP154" s="14"/>
      <c r="BXQ154" s="14"/>
      <c r="BXR154" s="14"/>
      <c r="BXS154" s="14"/>
      <c r="BXT154" s="14"/>
      <c r="BXU154" s="14"/>
      <c r="BXV154" s="14"/>
      <c r="BXW154" s="14"/>
      <c r="BXX154" s="14"/>
      <c r="BXY154" s="14"/>
      <c r="BXZ154" s="14"/>
      <c r="BYA154" s="14"/>
      <c r="BYB154" s="14"/>
      <c r="BYC154" s="14"/>
      <c r="BYD154" s="14"/>
      <c r="BYE154" s="14"/>
      <c r="BYF154" s="14"/>
      <c r="BYG154" s="14"/>
      <c r="BYH154" s="14"/>
      <c r="BYI154" s="14"/>
      <c r="BYJ154" s="14"/>
      <c r="BYK154" s="14"/>
      <c r="BYL154" s="14"/>
      <c r="BYM154" s="14"/>
      <c r="BYN154" s="14"/>
      <c r="BYO154" s="14"/>
      <c r="BYP154" s="14"/>
      <c r="BYQ154" s="14"/>
      <c r="BYR154" s="14"/>
      <c r="BYS154" s="14"/>
      <c r="BYT154" s="14"/>
      <c r="BYU154" s="14"/>
      <c r="BYV154" s="14"/>
      <c r="BYW154" s="14"/>
      <c r="BYX154" s="14"/>
      <c r="BYY154" s="14"/>
      <c r="BYZ154" s="14"/>
      <c r="BZA154" s="14"/>
      <c r="BZB154" s="14"/>
      <c r="BZC154" s="14"/>
      <c r="BZD154" s="14"/>
      <c r="BZE154" s="14"/>
      <c r="BZF154" s="14"/>
      <c r="BZG154" s="14"/>
      <c r="BZH154" s="14"/>
      <c r="BZI154" s="14"/>
      <c r="BZJ154" s="14"/>
      <c r="BZK154" s="14"/>
      <c r="BZL154" s="14"/>
      <c r="BZM154" s="14"/>
      <c r="BZN154" s="14"/>
      <c r="BZO154" s="14"/>
      <c r="BZP154" s="14"/>
      <c r="BZQ154" s="14"/>
      <c r="BZR154" s="14"/>
      <c r="BZS154" s="14"/>
      <c r="BZT154" s="14"/>
      <c r="BZU154" s="14"/>
      <c r="BZV154" s="14"/>
      <c r="BZW154" s="14"/>
      <c r="BZX154" s="14"/>
      <c r="BZY154" s="14"/>
      <c r="BZZ154" s="14"/>
      <c r="CAA154" s="14"/>
      <c r="CAB154" s="14"/>
      <c r="CAC154" s="14"/>
      <c r="CAD154" s="14"/>
      <c r="CAE154" s="14"/>
      <c r="CAF154" s="14"/>
      <c r="CAG154" s="14"/>
      <c r="CAH154" s="14"/>
      <c r="CAI154" s="14"/>
      <c r="CAJ154" s="14"/>
      <c r="CAK154" s="14"/>
      <c r="CAL154" s="14"/>
      <c r="CAM154" s="14"/>
      <c r="CAN154" s="14"/>
      <c r="CAO154" s="14"/>
      <c r="CAP154" s="14"/>
      <c r="CAQ154" s="14"/>
      <c r="CAR154" s="14"/>
      <c r="CAS154" s="14"/>
      <c r="CAT154" s="14"/>
      <c r="CAU154" s="14"/>
      <c r="CAV154" s="14"/>
      <c r="CAW154" s="14"/>
      <c r="CAX154" s="14"/>
      <c r="CAY154" s="14"/>
      <c r="CAZ154" s="14"/>
      <c r="CBA154" s="14"/>
      <c r="CBB154" s="14"/>
      <c r="CBC154" s="14"/>
      <c r="CBD154" s="14"/>
      <c r="CBE154" s="14"/>
      <c r="CBF154" s="14"/>
      <c r="CBG154" s="14"/>
      <c r="CBH154" s="14"/>
      <c r="CBI154" s="14"/>
      <c r="CBJ154" s="14"/>
      <c r="CBK154" s="14"/>
      <c r="CBL154" s="14"/>
      <c r="CBM154" s="14"/>
      <c r="CBN154" s="14"/>
      <c r="CBO154" s="14"/>
      <c r="CBP154" s="14"/>
      <c r="CBQ154" s="14"/>
      <c r="CBR154" s="14"/>
      <c r="CBS154" s="14"/>
      <c r="CBT154" s="14"/>
      <c r="CBU154" s="14"/>
      <c r="CBV154" s="14"/>
      <c r="CBW154" s="14"/>
      <c r="CBX154" s="14"/>
      <c r="CBY154" s="14"/>
      <c r="CBZ154" s="14"/>
      <c r="CCA154" s="14"/>
      <c r="CCB154" s="14"/>
      <c r="CCC154" s="14"/>
      <c r="CCD154" s="14"/>
      <c r="CCE154" s="14"/>
      <c r="CCF154" s="14"/>
      <c r="CCG154" s="14"/>
      <c r="CCH154" s="14"/>
      <c r="CCI154" s="14"/>
      <c r="CCJ154" s="14"/>
      <c r="CCK154" s="14"/>
      <c r="CCL154" s="14"/>
      <c r="CCM154" s="14"/>
      <c r="CCN154" s="14"/>
      <c r="CCO154" s="14"/>
      <c r="CCP154" s="14"/>
      <c r="CCQ154" s="14"/>
      <c r="CCR154" s="14"/>
      <c r="CCS154" s="14"/>
      <c r="CCT154" s="14"/>
      <c r="CCU154" s="14"/>
      <c r="CCV154" s="14"/>
      <c r="CCW154" s="14"/>
      <c r="CCX154" s="14"/>
      <c r="CCY154" s="14"/>
      <c r="CCZ154" s="14"/>
      <c r="CDA154" s="14"/>
      <c r="CDB154" s="14"/>
      <c r="CDC154" s="14"/>
      <c r="CDD154" s="14"/>
      <c r="CDE154" s="14"/>
      <c r="CDF154" s="14"/>
      <c r="CDG154" s="14"/>
      <c r="CDH154" s="14"/>
      <c r="CDI154" s="14"/>
      <c r="CDJ154" s="14"/>
      <c r="CDK154" s="14"/>
      <c r="CDL154" s="14"/>
      <c r="CDM154" s="14"/>
      <c r="CDN154" s="14"/>
      <c r="CDO154" s="14"/>
      <c r="CDP154" s="14"/>
      <c r="CDQ154" s="14"/>
      <c r="CDR154" s="14"/>
      <c r="CDS154" s="14"/>
      <c r="CDT154" s="14"/>
      <c r="CDU154" s="14"/>
      <c r="CDV154" s="14"/>
      <c r="CDW154" s="14"/>
      <c r="CDX154" s="14"/>
      <c r="CDY154" s="14"/>
      <c r="CDZ154" s="14"/>
      <c r="CEA154" s="14"/>
      <c r="CEB154" s="14"/>
      <c r="CEC154" s="14"/>
      <c r="CED154" s="14"/>
      <c r="CEE154" s="14"/>
      <c r="CEF154" s="14"/>
      <c r="CEG154" s="14"/>
      <c r="CEH154" s="14"/>
      <c r="CEI154" s="14"/>
      <c r="CEJ154" s="14"/>
      <c r="CEK154" s="14"/>
      <c r="CEL154" s="14"/>
      <c r="CEM154" s="14"/>
      <c r="CEN154" s="14"/>
      <c r="CEO154" s="14"/>
      <c r="CEP154" s="14"/>
      <c r="CEQ154" s="14"/>
      <c r="CER154" s="14"/>
      <c r="CES154" s="14"/>
      <c r="CET154" s="14"/>
      <c r="CEU154" s="14"/>
      <c r="CEV154" s="14"/>
      <c r="CEW154" s="14"/>
      <c r="CEX154" s="14"/>
      <c r="CEY154" s="14"/>
      <c r="CEZ154" s="14"/>
      <c r="CFA154" s="14"/>
      <c r="CFB154" s="14"/>
      <c r="CFC154" s="14"/>
      <c r="CFD154" s="14"/>
      <c r="CFE154" s="14"/>
      <c r="CFF154" s="14"/>
      <c r="CFG154" s="14"/>
      <c r="CFH154" s="14"/>
      <c r="CFI154" s="14"/>
      <c r="CFJ154" s="14"/>
      <c r="CFK154" s="14"/>
      <c r="CFL154" s="14"/>
      <c r="CFM154" s="14"/>
      <c r="CFN154" s="14"/>
      <c r="CFO154" s="14"/>
      <c r="CFP154" s="14"/>
      <c r="CFQ154" s="14"/>
      <c r="CFR154" s="14"/>
      <c r="CFS154" s="14"/>
      <c r="CFT154" s="14"/>
      <c r="CFU154" s="14"/>
      <c r="CFV154" s="14"/>
      <c r="CFW154" s="14"/>
      <c r="CFX154" s="14"/>
      <c r="CFY154" s="14"/>
      <c r="CFZ154" s="14"/>
      <c r="CGA154" s="14"/>
      <c r="CGB154" s="14"/>
      <c r="CGC154" s="14"/>
      <c r="CGD154" s="14"/>
      <c r="CGE154" s="14"/>
      <c r="CGF154" s="14"/>
      <c r="CGG154" s="14"/>
      <c r="CGH154" s="14"/>
      <c r="CGI154" s="14"/>
      <c r="CGJ154" s="14"/>
      <c r="CGK154" s="14"/>
      <c r="CGL154" s="14"/>
      <c r="CGM154" s="14"/>
      <c r="CGN154" s="14"/>
      <c r="CGO154" s="14"/>
      <c r="CGP154" s="14"/>
      <c r="CGQ154" s="14"/>
      <c r="CGR154" s="14"/>
      <c r="CGS154" s="14"/>
      <c r="CGT154" s="14"/>
      <c r="CGU154" s="14"/>
      <c r="CGV154" s="14"/>
      <c r="CGW154" s="14"/>
      <c r="CGX154" s="14"/>
      <c r="CGY154" s="14"/>
      <c r="CGZ154" s="14"/>
      <c r="CHA154" s="14"/>
      <c r="CHB154" s="14"/>
      <c r="CHC154" s="14"/>
      <c r="CHD154" s="14"/>
      <c r="CHE154" s="14"/>
      <c r="CHF154" s="14"/>
      <c r="CHG154" s="14"/>
      <c r="CHH154" s="14"/>
      <c r="CHI154" s="14"/>
      <c r="CHJ154" s="14"/>
      <c r="CHK154" s="14"/>
      <c r="CHL154" s="14"/>
      <c r="CHM154" s="14"/>
      <c r="CHN154" s="14"/>
      <c r="CHO154" s="14"/>
      <c r="CHP154" s="14"/>
      <c r="CHQ154" s="14"/>
      <c r="CHR154" s="14"/>
      <c r="CHS154" s="14"/>
      <c r="CHT154" s="14"/>
      <c r="CHU154" s="14"/>
      <c r="CHV154" s="14"/>
      <c r="CHW154" s="14"/>
      <c r="CHX154" s="14"/>
      <c r="CHY154" s="14"/>
      <c r="CHZ154" s="14"/>
      <c r="CIA154" s="14"/>
      <c r="CIB154" s="14"/>
      <c r="CIC154" s="14"/>
      <c r="CID154" s="14"/>
      <c r="CIE154" s="14"/>
      <c r="CIF154" s="14"/>
      <c r="CIG154" s="14"/>
      <c r="CIH154" s="14"/>
      <c r="CII154" s="14"/>
      <c r="CIJ154" s="14"/>
      <c r="CIK154" s="14"/>
      <c r="CIL154" s="14"/>
      <c r="CIM154" s="14"/>
      <c r="CIN154" s="14"/>
      <c r="CIO154" s="14"/>
      <c r="CIP154" s="14"/>
      <c r="CIQ154" s="14"/>
      <c r="CIR154" s="14"/>
      <c r="CIS154" s="14"/>
      <c r="CIT154" s="14"/>
      <c r="CIU154" s="14"/>
      <c r="CIV154" s="14"/>
      <c r="CIW154" s="14"/>
      <c r="CIX154" s="14"/>
      <c r="CIY154" s="14"/>
      <c r="CIZ154" s="14"/>
      <c r="CJA154" s="14"/>
      <c r="CJB154" s="14"/>
      <c r="CJC154" s="14"/>
      <c r="CJD154" s="14"/>
      <c r="CJE154" s="14"/>
      <c r="CJF154" s="14"/>
      <c r="CJG154" s="14"/>
      <c r="CJH154" s="14"/>
      <c r="CJI154" s="14"/>
      <c r="CJJ154" s="14"/>
      <c r="CJK154" s="14"/>
      <c r="CJL154" s="14"/>
      <c r="CJM154" s="14"/>
      <c r="CJN154" s="14"/>
      <c r="CJO154" s="14"/>
      <c r="CJP154" s="14"/>
      <c r="CJQ154" s="14"/>
      <c r="CJR154" s="14"/>
      <c r="CJS154" s="14"/>
      <c r="CJT154" s="14"/>
      <c r="CJU154" s="14"/>
      <c r="CJV154" s="14"/>
      <c r="CJW154" s="14"/>
      <c r="CJX154" s="14"/>
      <c r="CJY154" s="14"/>
      <c r="CJZ154" s="14"/>
      <c r="CKA154" s="14"/>
      <c r="CKB154" s="14"/>
      <c r="CKC154" s="14"/>
      <c r="CKD154" s="14"/>
      <c r="CKE154" s="14"/>
      <c r="CKF154" s="14"/>
      <c r="CKG154" s="14"/>
      <c r="CKH154" s="14"/>
      <c r="CKI154" s="14"/>
      <c r="CKJ154" s="14"/>
      <c r="CKK154" s="14"/>
      <c r="CKL154" s="14"/>
      <c r="CKM154" s="14"/>
      <c r="CKN154" s="14"/>
      <c r="CKO154" s="14"/>
      <c r="CKP154" s="14"/>
      <c r="CKQ154" s="14"/>
      <c r="CKR154" s="14"/>
      <c r="CKS154" s="14"/>
      <c r="CKT154" s="14"/>
      <c r="CKU154" s="14"/>
      <c r="CKV154" s="14"/>
      <c r="CKW154" s="14"/>
      <c r="CKX154" s="14"/>
      <c r="CKY154" s="14"/>
      <c r="CKZ154" s="14"/>
      <c r="CLA154" s="14"/>
      <c r="CLB154" s="14"/>
      <c r="CLC154" s="14"/>
      <c r="CLD154" s="14"/>
      <c r="CLE154" s="14"/>
      <c r="CLF154" s="14"/>
      <c r="CLG154" s="14"/>
      <c r="CLH154" s="14"/>
      <c r="CLI154" s="14"/>
      <c r="CLJ154" s="14"/>
      <c r="CLK154" s="14"/>
      <c r="CLL154" s="14"/>
      <c r="CLM154" s="14"/>
      <c r="CLN154" s="14"/>
      <c r="CLO154" s="14"/>
      <c r="CLP154" s="14"/>
      <c r="CLQ154" s="14"/>
      <c r="CLR154" s="14"/>
      <c r="CLS154" s="14"/>
      <c r="CLT154" s="14"/>
      <c r="CLU154" s="14"/>
      <c r="CLV154" s="14"/>
      <c r="CLW154" s="14"/>
      <c r="CLX154" s="14"/>
      <c r="CLY154" s="14"/>
      <c r="CLZ154" s="14"/>
      <c r="CMA154" s="14"/>
      <c r="CMB154" s="14"/>
      <c r="CMC154" s="14"/>
      <c r="CMD154" s="14"/>
      <c r="CME154" s="14"/>
      <c r="CMF154" s="14"/>
      <c r="CMG154" s="14"/>
      <c r="CMH154" s="14"/>
      <c r="CMI154" s="14"/>
      <c r="CMJ154" s="14"/>
      <c r="CMK154" s="14"/>
      <c r="CML154" s="14"/>
      <c r="CMM154" s="14"/>
      <c r="CMN154" s="14"/>
      <c r="CMO154" s="14"/>
      <c r="CMP154" s="14"/>
      <c r="CMQ154" s="14"/>
      <c r="CMR154" s="14"/>
      <c r="CMS154" s="14"/>
      <c r="CMT154" s="14"/>
      <c r="CMU154" s="14"/>
      <c r="CMV154" s="14"/>
      <c r="CMW154" s="14"/>
      <c r="CMX154" s="14"/>
      <c r="CMY154" s="14"/>
      <c r="CMZ154" s="14"/>
      <c r="CNA154" s="14"/>
      <c r="CNB154" s="14"/>
      <c r="CNC154" s="14"/>
      <c r="CND154" s="14"/>
      <c r="CNE154" s="14"/>
      <c r="CNF154" s="14"/>
      <c r="CNG154" s="14"/>
      <c r="CNH154" s="14"/>
      <c r="CNI154" s="14"/>
      <c r="CNJ154" s="14"/>
      <c r="CNK154" s="14"/>
      <c r="CNL154" s="14"/>
      <c r="CNM154" s="14"/>
      <c r="CNN154" s="14"/>
      <c r="CNO154" s="14"/>
      <c r="CNP154" s="14"/>
      <c r="CNQ154" s="14"/>
      <c r="CNR154" s="14"/>
      <c r="CNS154" s="14"/>
      <c r="CNT154" s="14"/>
      <c r="CNU154" s="14"/>
      <c r="CNV154" s="14"/>
      <c r="CNW154" s="14"/>
      <c r="CNX154" s="14"/>
      <c r="CNY154" s="14"/>
      <c r="CNZ154" s="14"/>
      <c r="COA154" s="14"/>
      <c r="COB154" s="14"/>
      <c r="COC154" s="14"/>
      <c r="COD154" s="14"/>
      <c r="COE154" s="14"/>
      <c r="COF154" s="14"/>
      <c r="COG154" s="14"/>
      <c r="COH154" s="14"/>
      <c r="COI154" s="14"/>
      <c r="COJ154" s="14"/>
      <c r="COK154" s="14"/>
      <c r="COL154" s="14"/>
      <c r="COM154" s="14"/>
      <c r="CON154" s="14"/>
      <c r="COO154" s="14"/>
      <c r="COP154" s="14"/>
      <c r="COQ154" s="14"/>
      <c r="COR154" s="14"/>
      <c r="COS154" s="14"/>
      <c r="COT154" s="14"/>
      <c r="COU154" s="14"/>
      <c r="COV154" s="14"/>
      <c r="COW154" s="14"/>
      <c r="COX154" s="14"/>
      <c r="COY154" s="14"/>
      <c r="COZ154" s="14"/>
      <c r="CPA154" s="14"/>
      <c r="CPB154" s="14"/>
      <c r="CPC154" s="14"/>
      <c r="CPD154" s="14"/>
      <c r="CPE154" s="14"/>
      <c r="CPF154" s="14"/>
      <c r="CPG154" s="14"/>
      <c r="CPH154" s="14"/>
      <c r="CPI154" s="14"/>
      <c r="CPJ154" s="14"/>
      <c r="CPK154" s="14"/>
      <c r="CPL154" s="14"/>
      <c r="CPM154" s="14"/>
      <c r="CPN154" s="14"/>
      <c r="CPO154" s="14"/>
      <c r="CPP154" s="14"/>
      <c r="CPQ154" s="14"/>
      <c r="CPR154" s="14"/>
      <c r="CPS154" s="14"/>
      <c r="CPT154" s="14"/>
      <c r="CPU154" s="14"/>
      <c r="CPV154" s="14"/>
      <c r="CPW154" s="14"/>
      <c r="CPX154" s="14"/>
      <c r="CPY154" s="14"/>
      <c r="CPZ154" s="14"/>
      <c r="CQA154" s="14"/>
      <c r="CQB154" s="14"/>
      <c r="CQC154" s="14"/>
      <c r="CQD154" s="14"/>
      <c r="CQE154" s="14"/>
      <c r="CQF154" s="14"/>
      <c r="CQG154" s="14"/>
      <c r="CQH154" s="14"/>
      <c r="CQI154" s="14"/>
      <c r="CQJ154" s="14"/>
      <c r="CQK154" s="14"/>
      <c r="CQL154" s="14"/>
      <c r="CQM154" s="14"/>
      <c r="CQN154" s="14"/>
      <c r="CQO154" s="14"/>
      <c r="CQP154" s="14"/>
      <c r="CQQ154" s="14"/>
      <c r="CQR154" s="14"/>
      <c r="CQS154" s="14"/>
      <c r="CQT154" s="14"/>
      <c r="CQU154" s="14"/>
      <c r="CQV154" s="14"/>
      <c r="CQW154" s="14"/>
      <c r="CQX154" s="14"/>
      <c r="CQY154" s="14"/>
      <c r="CQZ154" s="14"/>
      <c r="CRA154" s="14"/>
      <c r="CRB154" s="14"/>
      <c r="CRC154" s="14"/>
      <c r="CRD154" s="14"/>
      <c r="CRE154" s="14"/>
      <c r="CRF154" s="14"/>
      <c r="CRG154" s="14"/>
      <c r="CRH154" s="14"/>
      <c r="CRI154" s="14"/>
      <c r="CRJ154" s="14"/>
      <c r="CRK154" s="14"/>
      <c r="CRL154" s="14"/>
      <c r="CRM154" s="14"/>
      <c r="CRN154" s="14"/>
      <c r="CRO154" s="14"/>
      <c r="CRP154" s="14"/>
      <c r="CRQ154" s="14"/>
      <c r="CRR154" s="14"/>
      <c r="CRS154" s="14"/>
      <c r="CRT154" s="14"/>
      <c r="CRU154" s="14"/>
      <c r="CRV154" s="14"/>
      <c r="CRW154" s="14"/>
      <c r="CRX154" s="14"/>
      <c r="CRY154" s="14"/>
      <c r="CRZ154" s="14"/>
      <c r="CSA154" s="14"/>
      <c r="CSB154" s="14"/>
      <c r="CSC154" s="14"/>
      <c r="CSD154" s="14"/>
      <c r="CSE154" s="14"/>
      <c r="CSF154" s="14"/>
      <c r="CSG154" s="14"/>
      <c r="CSH154" s="14"/>
      <c r="CSI154" s="14"/>
      <c r="CSJ154" s="14"/>
      <c r="CSK154" s="14"/>
      <c r="CSL154" s="14"/>
      <c r="CSM154" s="14"/>
      <c r="CSN154" s="14"/>
      <c r="CSO154" s="14"/>
      <c r="CSP154" s="14"/>
      <c r="CSQ154" s="14"/>
      <c r="CSR154" s="14"/>
      <c r="CSS154" s="14"/>
      <c r="CST154" s="14"/>
      <c r="CSU154" s="14"/>
      <c r="CSV154" s="14"/>
      <c r="CSW154" s="14"/>
      <c r="CSX154" s="14"/>
      <c r="CSY154" s="14"/>
      <c r="CSZ154" s="14"/>
      <c r="CTA154" s="14"/>
      <c r="CTB154" s="14"/>
      <c r="CTC154" s="14"/>
      <c r="CTD154" s="14"/>
      <c r="CTE154" s="14"/>
      <c r="CTF154" s="14"/>
      <c r="CTG154" s="14"/>
      <c r="CTH154" s="14"/>
      <c r="CTI154" s="14"/>
      <c r="CTJ154" s="14"/>
      <c r="CTK154" s="14"/>
      <c r="CTL154" s="14"/>
      <c r="CTM154" s="14"/>
      <c r="CTN154" s="14"/>
      <c r="CTO154" s="14"/>
      <c r="CTP154" s="14"/>
      <c r="CTQ154" s="14"/>
      <c r="CTR154" s="14"/>
      <c r="CTS154" s="14"/>
      <c r="CTT154" s="14"/>
      <c r="CTU154" s="14"/>
      <c r="CTV154" s="14"/>
      <c r="CTW154" s="14"/>
      <c r="CTX154" s="14"/>
      <c r="CTY154" s="14"/>
      <c r="CTZ154" s="14"/>
      <c r="CUA154" s="14"/>
      <c r="CUB154" s="14"/>
      <c r="CUC154" s="14"/>
      <c r="CUD154" s="14"/>
      <c r="CUE154" s="14"/>
      <c r="CUF154" s="14"/>
      <c r="CUG154" s="14"/>
      <c r="CUH154" s="14"/>
      <c r="CUI154" s="14"/>
      <c r="CUJ154" s="14"/>
      <c r="CUK154" s="14"/>
      <c r="CUL154" s="14"/>
      <c r="CUM154" s="14"/>
      <c r="CUN154" s="14"/>
      <c r="CUO154" s="14"/>
      <c r="CUP154" s="14"/>
      <c r="CUQ154" s="14"/>
      <c r="CUR154" s="14"/>
      <c r="CUS154" s="14"/>
      <c r="CUT154" s="14"/>
      <c r="CUU154" s="14"/>
      <c r="CUV154" s="14"/>
      <c r="CUW154" s="14"/>
      <c r="CUX154" s="14"/>
      <c r="CUY154" s="14"/>
      <c r="CUZ154" s="14"/>
      <c r="CVA154" s="14"/>
      <c r="CVB154" s="14"/>
      <c r="CVC154" s="14"/>
      <c r="CVD154" s="14"/>
      <c r="CVE154" s="14"/>
      <c r="CVF154" s="14"/>
      <c r="CVG154" s="14"/>
      <c r="CVH154" s="14"/>
      <c r="CVI154" s="14"/>
      <c r="CVJ154" s="14"/>
      <c r="CVK154" s="14"/>
      <c r="CVL154" s="14"/>
      <c r="CVM154" s="14"/>
      <c r="CVN154" s="14"/>
      <c r="CVO154" s="14"/>
      <c r="CVP154" s="14"/>
      <c r="CVQ154" s="14"/>
      <c r="CVR154" s="14"/>
      <c r="CVS154" s="14"/>
      <c r="CVT154" s="14"/>
      <c r="CVU154" s="14"/>
      <c r="CVV154" s="14"/>
      <c r="CVW154" s="14"/>
      <c r="CVX154" s="14"/>
      <c r="CVY154" s="14"/>
      <c r="CVZ154" s="14"/>
      <c r="CWA154" s="14"/>
      <c r="CWB154" s="14"/>
      <c r="CWC154" s="14"/>
      <c r="CWD154" s="14"/>
      <c r="CWE154" s="14"/>
      <c r="CWF154" s="14"/>
      <c r="CWG154" s="14"/>
      <c r="CWH154" s="14"/>
      <c r="CWI154" s="14"/>
      <c r="CWJ154" s="14"/>
      <c r="CWK154" s="14"/>
      <c r="CWL154" s="14"/>
      <c r="CWM154" s="14"/>
      <c r="CWN154" s="14"/>
      <c r="CWO154" s="14"/>
      <c r="CWP154" s="14"/>
      <c r="CWQ154" s="14"/>
      <c r="CWR154" s="14"/>
      <c r="CWS154" s="14"/>
      <c r="CWT154" s="14"/>
      <c r="CWU154" s="14"/>
      <c r="CWV154" s="14"/>
      <c r="CWW154" s="14"/>
      <c r="CWX154" s="14"/>
      <c r="CWY154" s="14"/>
      <c r="CWZ154" s="14"/>
      <c r="CXA154" s="14"/>
      <c r="CXB154" s="14"/>
      <c r="CXC154" s="14"/>
      <c r="CXD154" s="14"/>
      <c r="CXE154" s="14"/>
      <c r="CXF154" s="14"/>
      <c r="CXG154" s="14"/>
      <c r="CXH154" s="14"/>
      <c r="CXI154" s="14"/>
      <c r="CXJ154" s="14"/>
      <c r="CXK154" s="14"/>
      <c r="CXL154" s="14"/>
      <c r="CXM154" s="14"/>
      <c r="CXN154" s="14"/>
      <c r="CXO154" s="14"/>
      <c r="CXP154" s="14"/>
      <c r="CXQ154" s="14"/>
      <c r="CXR154" s="14"/>
      <c r="CXS154" s="14"/>
      <c r="CXT154" s="14"/>
      <c r="CXU154" s="14"/>
      <c r="CXV154" s="14"/>
      <c r="CXW154" s="14"/>
      <c r="CXX154" s="14"/>
      <c r="CXY154" s="14"/>
      <c r="CXZ154" s="14"/>
      <c r="CYA154" s="14"/>
      <c r="CYB154" s="14"/>
      <c r="CYC154" s="14"/>
      <c r="CYD154" s="14"/>
      <c r="CYE154" s="14"/>
      <c r="CYF154" s="14"/>
      <c r="CYG154" s="14"/>
      <c r="CYH154" s="14"/>
      <c r="CYI154" s="14"/>
      <c r="CYJ154" s="14"/>
      <c r="CYK154" s="14"/>
      <c r="CYL154" s="14"/>
      <c r="CYM154" s="14"/>
      <c r="CYN154" s="14"/>
      <c r="CYO154" s="14"/>
      <c r="CYP154" s="14"/>
      <c r="CYQ154" s="14"/>
      <c r="CYR154" s="14"/>
      <c r="CYS154" s="14"/>
      <c r="CYT154" s="14"/>
      <c r="CYU154" s="14"/>
      <c r="CYV154" s="14"/>
      <c r="CYW154" s="14"/>
      <c r="CYX154" s="14"/>
      <c r="CYY154" s="14"/>
      <c r="CYZ154" s="14"/>
      <c r="CZA154" s="14"/>
      <c r="CZB154" s="14"/>
      <c r="CZC154" s="14"/>
      <c r="CZD154" s="14"/>
      <c r="CZE154" s="14"/>
      <c r="CZF154" s="14"/>
      <c r="CZG154" s="14"/>
      <c r="CZH154" s="14"/>
      <c r="CZI154" s="14"/>
      <c r="CZJ154" s="14"/>
      <c r="CZK154" s="14"/>
      <c r="CZL154" s="14"/>
      <c r="CZM154" s="14"/>
      <c r="CZN154" s="14"/>
      <c r="CZO154" s="14"/>
      <c r="CZP154" s="14"/>
      <c r="CZQ154" s="14"/>
      <c r="CZR154" s="14"/>
      <c r="CZS154" s="14"/>
      <c r="CZT154" s="14"/>
      <c r="CZU154" s="14"/>
      <c r="CZV154" s="14"/>
      <c r="CZW154" s="14"/>
      <c r="CZX154" s="14"/>
      <c r="CZY154" s="14"/>
      <c r="CZZ154" s="14"/>
      <c r="DAA154" s="14"/>
      <c r="DAB154" s="14"/>
      <c r="DAC154" s="14"/>
      <c r="DAD154" s="14"/>
      <c r="DAE154" s="14"/>
      <c r="DAF154" s="14"/>
      <c r="DAG154" s="14"/>
      <c r="DAH154" s="14"/>
      <c r="DAI154" s="14"/>
      <c r="DAJ154" s="14"/>
      <c r="DAK154" s="14"/>
      <c r="DAL154" s="14"/>
      <c r="DAM154" s="14"/>
      <c r="DAN154" s="14"/>
      <c r="DAO154" s="14"/>
      <c r="DAP154" s="14"/>
      <c r="DAQ154" s="14"/>
      <c r="DAR154" s="14"/>
      <c r="DAS154" s="14"/>
      <c r="DAT154" s="14"/>
      <c r="DAU154" s="14"/>
      <c r="DAV154" s="14"/>
      <c r="DAW154" s="14"/>
      <c r="DAX154" s="14"/>
      <c r="DAY154" s="14"/>
      <c r="DAZ154" s="14"/>
      <c r="DBA154" s="14"/>
      <c r="DBB154" s="14"/>
      <c r="DBC154" s="14"/>
      <c r="DBD154" s="14"/>
      <c r="DBE154" s="14"/>
      <c r="DBF154" s="14"/>
      <c r="DBG154" s="14"/>
      <c r="DBH154" s="14"/>
      <c r="DBI154" s="14"/>
      <c r="DBJ154" s="14"/>
      <c r="DBK154" s="14"/>
      <c r="DBL154" s="14"/>
      <c r="DBM154" s="14"/>
      <c r="DBN154" s="14"/>
      <c r="DBO154" s="14"/>
      <c r="DBP154" s="14"/>
      <c r="DBQ154" s="14"/>
      <c r="DBR154" s="14"/>
      <c r="DBS154" s="14"/>
      <c r="DBT154" s="14"/>
      <c r="DBU154" s="14"/>
      <c r="DBV154" s="14"/>
      <c r="DBW154" s="14"/>
      <c r="DBX154" s="14"/>
      <c r="DBY154" s="14"/>
      <c r="DBZ154" s="14"/>
      <c r="DCA154" s="14"/>
      <c r="DCB154" s="14"/>
      <c r="DCC154" s="14"/>
      <c r="DCD154" s="14"/>
      <c r="DCE154" s="14"/>
      <c r="DCF154" s="14"/>
      <c r="DCG154" s="14"/>
      <c r="DCH154" s="14"/>
      <c r="DCI154" s="14"/>
      <c r="DCJ154" s="14"/>
      <c r="DCK154" s="14"/>
      <c r="DCL154" s="14"/>
      <c r="DCM154" s="14"/>
      <c r="DCN154" s="14"/>
      <c r="DCO154" s="14"/>
      <c r="DCP154" s="14"/>
      <c r="DCQ154" s="14"/>
      <c r="DCR154" s="14"/>
      <c r="DCS154" s="14"/>
      <c r="DCT154" s="14"/>
      <c r="DCU154" s="14"/>
      <c r="DCV154" s="14"/>
      <c r="DCW154" s="14"/>
      <c r="DCX154" s="14"/>
      <c r="DCY154" s="14"/>
      <c r="DCZ154" s="14"/>
      <c r="DDA154" s="14"/>
      <c r="DDB154" s="14"/>
      <c r="DDC154" s="14"/>
      <c r="DDD154" s="14"/>
      <c r="DDE154" s="14"/>
      <c r="DDF154" s="14"/>
      <c r="DDG154" s="14"/>
      <c r="DDH154" s="14"/>
      <c r="DDI154" s="14"/>
      <c r="DDJ154" s="14"/>
      <c r="DDK154" s="14"/>
      <c r="DDL154" s="14"/>
      <c r="DDM154" s="14"/>
      <c r="DDN154" s="14"/>
      <c r="DDO154" s="14"/>
      <c r="DDP154" s="14"/>
      <c r="DDQ154" s="14"/>
      <c r="DDR154" s="14"/>
      <c r="DDS154" s="14"/>
      <c r="DDT154" s="14"/>
      <c r="DDU154" s="14"/>
      <c r="DDV154" s="14"/>
      <c r="DDW154" s="14"/>
      <c r="DDX154" s="14"/>
      <c r="DDY154" s="14"/>
      <c r="DDZ154" s="14"/>
      <c r="DEA154" s="14"/>
      <c r="DEB154" s="14"/>
      <c r="DEC154" s="14"/>
      <c r="DED154" s="14"/>
      <c r="DEE154" s="14"/>
      <c r="DEF154" s="14"/>
      <c r="DEG154" s="14"/>
      <c r="DEH154" s="14"/>
      <c r="DEI154" s="14"/>
      <c r="DEJ154" s="14"/>
      <c r="DEK154" s="14"/>
      <c r="DEL154" s="14"/>
      <c r="DEM154" s="14"/>
      <c r="DEN154" s="14"/>
      <c r="DEO154" s="14"/>
      <c r="DEP154" s="14"/>
      <c r="DEQ154" s="14"/>
      <c r="DER154" s="14"/>
      <c r="DES154" s="14"/>
      <c r="DET154" s="14"/>
      <c r="DEU154" s="14"/>
      <c r="DEV154" s="14"/>
      <c r="DEW154" s="14"/>
      <c r="DEX154" s="14"/>
      <c r="DEY154" s="14"/>
      <c r="DEZ154" s="14"/>
      <c r="DFA154" s="14"/>
      <c r="DFB154" s="14"/>
      <c r="DFC154" s="14"/>
      <c r="DFD154" s="14"/>
      <c r="DFE154" s="14"/>
      <c r="DFF154" s="14"/>
      <c r="DFG154" s="14"/>
      <c r="DFH154" s="14"/>
      <c r="DFI154" s="14"/>
      <c r="DFJ154" s="14"/>
      <c r="DFK154" s="14"/>
      <c r="DFL154" s="14"/>
      <c r="DFM154" s="14"/>
      <c r="DFN154" s="14"/>
      <c r="DFO154" s="14"/>
      <c r="DFP154" s="14"/>
      <c r="DFQ154" s="14"/>
      <c r="DFR154" s="14"/>
      <c r="DFS154" s="14"/>
      <c r="DFT154" s="14"/>
      <c r="DFU154" s="14"/>
      <c r="DFV154" s="14"/>
      <c r="DFW154" s="14"/>
      <c r="DFX154" s="14"/>
      <c r="DFY154" s="14"/>
      <c r="DFZ154" s="14"/>
      <c r="DGA154" s="14"/>
      <c r="DGB154" s="14"/>
      <c r="DGC154" s="14"/>
      <c r="DGD154" s="14"/>
      <c r="DGE154" s="14"/>
      <c r="DGF154" s="14"/>
      <c r="DGG154" s="14"/>
      <c r="DGH154" s="14"/>
      <c r="DGI154" s="14"/>
      <c r="DGJ154" s="14"/>
      <c r="DGK154" s="14"/>
      <c r="DGL154" s="14"/>
      <c r="DGM154" s="14"/>
      <c r="DGN154" s="14"/>
      <c r="DGO154" s="14"/>
      <c r="DGP154" s="14"/>
      <c r="DGQ154" s="14"/>
      <c r="DGR154" s="14"/>
      <c r="DGS154" s="14"/>
      <c r="DGT154" s="14"/>
      <c r="DGU154" s="14"/>
      <c r="DGV154" s="14"/>
      <c r="DGW154" s="14"/>
      <c r="DGX154" s="14"/>
      <c r="DGY154" s="14"/>
      <c r="DGZ154" s="14"/>
      <c r="DHA154" s="14"/>
      <c r="DHB154" s="14"/>
      <c r="DHC154" s="14"/>
      <c r="DHD154" s="14"/>
      <c r="DHE154" s="14"/>
      <c r="DHF154" s="14"/>
      <c r="DHG154" s="14"/>
      <c r="DHH154" s="14"/>
      <c r="DHI154" s="14"/>
      <c r="DHJ154" s="14"/>
      <c r="DHK154" s="14"/>
      <c r="DHL154" s="14"/>
      <c r="DHM154" s="14"/>
      <c r="DHN154" s="14"/>
      <c r="DHO154" s="14"/>
      <c r="DHP154" s="14"/>
      <c r="DHQ154" s="14"/>
      <c r="DHR154" s="14"/>
      <c r="DHS154" s="14"/>
      <c r="DHT154" s="14"/>
      <c r="DHU154" s="14"/>
      <c r="DHV154" s="14"/>
      <c r="DHW154" s="14"/>
      <c r="DHX154" s="14"/>
      <c r="DHY154" s="14"/>
      <c r="DHZ154" s="14"/>
      <c r="DIA154" s="14"/>
      <c r="DIB154" s="14"/>
      <c r="DIC154" s="14"/>
      <c r="DID154" s="14"/>
      <c r="DIE154" s="14"/>
      <c r="DIF154" s="14"/>
      <c r="DIG154" s="14"/>
      <c r="DIH154" s="14"/>
      <c r="DII154" s="14"/>
      <c r="DIJ154" s="14"/>
      <c r="DIK154" s="14"/>
      <c r="DIL154" s="14"/>
      <c r="DIM154" s="14"/>
      <c r="DIN154" s="14"/>
      <c r="DIO154" s="14"/>
      <c r="DIP154" s="14"/>
      <c r="DIQ154" s="14"/>
      <c r="DIR154" s="14"/>
      <c r="DIS154" s="14"/>
      <c r="DIT154" s="14"/>
      <c r="DIU154" s="14"/>
      <c r="DIV154" s="14"/>
      <c r="DIW154" s="14"/>
      <c r="DIX154" s="14"/>
      <c r="DIY154" s="14"/>
      <c r="DIZ154" s="14"/>
      <c r="DJA154" s="14"/>
      <c r="DJB154" s="14"/>
      <c r="DJC154" s="14"/>
      <c r="DJD154" s="14"/>
      <c r="DJE154" s="14"/>
      <c r="DJF154" s="14"/>
      <c r="DJG154" s="14"/>
      <c r="DJH154" s="14"/>
      <c r="DJI154" s="14"/>
      <c r="DJJ154" s="14"/>
      <c r="DJK154" s="14"/>
      <c r="DJL154" s="14"/>
      <c r="DJM154" s="14"/>
      <c r="DJN154" s="14"/>
      <c r="DJO154" s="14"/>
      <c r="DJP154" s="14"/>
      <c r="DJQ154" s="14"/>
      <c r="DJR154" s="14"/>
      <c r="DJS154" s="14"/>
      <c r="DJT154" s="14"/>
      <c r="DJU154" s="14"/>
      <c r="DJV154" s="14"/>
      <c r="DJW154" s="14"/>
      <c r="DJX154" s="14"/>
      <c r="DJY154" s="14"/>
      <c r="DJZ154" s="14"/>
      <c r="DKA154" s="14"/>
      <c r="DKB154" s="14"/>
      <c r="DKC154" s="14"/>
      <c r="DKD154" s="14"/>
      <c r="DKE154" s="14"/>
      <c r="DKF154" s="14"/>
      <c r="DKG154" s="14"/>
      <c r="DKH154" s="14"/>
      <c r="DKI154" s="14"/>
      <c r="DKJ154" s="14"/>
      <c r="DKK154" s="14"/>
      <c r="DKL154" s="14"/>
      <c r="DKM154" s="14"/>
      <c r="DKN154" s="14"/>
      <c r="DKO154" s="14"/>
      <c r="DKP154" s="14"/>
      <c r="DKQ154" s="14"/>
      <c r="DKR154" s="14"/>
      <c r="DKS154" s="14"/>
      <c r="DKT154" s="14"/>
      <c r="DKU154" s="14"/>
      <c r="DKV154" s="14"/>
      <c r="DKW154" s="14"/>
      <c r="DKX154" s="14"/>
      <c r="DKY154" s="14"/>
      <c r="DKZ154" s="14"/>
      <c r="DLA154" s="14"/>
      <c r="DLB154" s="14"/>
      <c r="DLC154" s="14"/>
      <c r="DLD154" s="14"/>
      <c r="DLE154" s="14"/>
      <c r="DLF154" s="14"/>
      <c r="DLG154" s="14"/>
      <c r="DLH154" s="14"/>
      <c r="DLI154" s="14"/>
      <c r="DLJ154" s="14"/>
      <c r="DLK154" s="14"/>
      <c r="DLL154" s="14"/>
      <c r="DLM154" s="14"/>
      <c r="DLN154" s="14"/>
      <c r="DLO154" s="14"/>
      <c r="DLP154" s="14"/>
      <c r="DLQ154" s="14"/>
      <c r="DLR154" s="14"/>
      <c r="DLS154" s="14"/>
      <c r="DLT154" s="14"/>
      <c r="DLU154" s="14"/>
      <c r="DLV154" s="14"/>
      <c r="DLW154" s="14"/>
      <c r="DLX154" s="14"/>
      <c r="DLY154" s="14"/>
      <c r="DLZ154" s="14"/>
      <c r="DMA154" s="14"/>
      <c r="DMB154" s="14"/>
      <c r="DMC154" s="14"/>
      <c r="DMD154" s="14"/>
      <c r="DME154" s="14"/>
      <c r="DMF154" s="14"/>
      <c r="DMG154" s="14"/>
      <c r="DMH154" s="14"/>
      <c r="DMI154" s="14"/>
      <c r="DMJ154" s="14"/>
      <c r="DMK154" s="14"/>
      <c r="DML154" s="14"/>
      <c r="DMM154" s="14"/>
      <c r="DMN154" s="14"/>
      <c r="DMO154" s="14"/>
      <c r="DMP154" s="14"/>
      <c r="DMQ154" s="14"/>
      <c r="DMR154" s="14"/>
      <c r="DMS154" s="14"/>
      <c r="DMT154" s="14"/>
      <c r="DMU154" s="14"/>
      <c r="DMV154" s="14"/>
      <c r="DMW154" s="14"/>
      <c r="DMX154" s="14"/>
      <c r="DMY154" s="14"/>
      <c r="DMZ154" s="14"/>
      <c r="DNA154" s="14"/>
      <c r="DNB154" s="14"/>
      <c r="DNC154" s="14"/>
      <c r="DND154" s="14"/>
      <c r="DNE154" s="14"/>
      <c r="DNF154" s="14"/>
      <c r="DNG154" s="14"/>
      <c r="DNH154" s="14"/>
      <c r="DNI154" s="14"/>
      <c r="DNJ154" s="14"/>
      <c r="DNK154" s="14"/>
      <c r="DNL154" s="14"/>
      <c r="DNM154" s="14"/>
      <c r="DNN154" s="14"/>
      <c r="DNO154" s="14"/>
      <c r="DNP154" s="14"/>
      <c r="DNQ154" s="14"/>
      <c r="DNR154" s="14"/>
      <c r="DNS154" s="14"/>
      <c r="DNT154" s="14"/>
      <c r="DNU154" s="14"/>
      <c r="DNV154" s="14"/>
      <c r="DNW154" s="14"/>
      <c r="DNX154" s="14"/>
      <c r="DNY154" s="14"/>
      <c r="DNZ154" s="14"/>
      <c r="DOA154" s="14"/>
      <c r="DOB154" s="14"/>
      <c r="DOC154" s="14"/>
      <c r="DOD154" s="14"/>
      <c r="DOE154" s="14"/>
      <c r="DOF154" s="14"/>
      <c r="DOG154" s="14"/>
      <c r="DOH154" s="14"/>
      <c r="DOI154" s="14"/>
      <c r="DOJ154" s="14"/>
      <c r="DOK154" s="14"/>
      <c r="DOL154" s="14"/>
      <c r="DOM154" s="14"/>
      <c r="DON154" s="14"/>
      <c r="DOO154" s="14"/>
      <c r="DOP154" s="14"/>
      <c r="DOQ154" s="14"/>
      <c r="DOR154" s="14"/>
      <c r="DOS154" s="14"/>
      <c r="DOT154" s="14"/>
      <c r="DOU154" s="14"/>
      <c r="DOV154" s="14"/>
      <c r="DOW154" s="14"/>
      <c r="DOX154" s="14"/>
      <c r="DOY154" s="14"/>
      <c r="DOZ154" s="14"/>
      <c r="DPA154" s="14"/>
      <c r="DPB154" s="14"/>
      <c r="DPC154" s="14"/>
      <c r="DPD154" s="14"/>
      <c r="DPE154" s="14"/>
      <c r="DPF154" s="14"/>
      <c r="DPG154" s="14"/>
      <c r="DPH154" s="14"/>
      <c r="DPI154" s="14"/>
      <c r="DPJ154" s="14"/>
      <c r="DPK154" s="14"/>
      <c r="DPL154" s="14"/>
      <c r="DPM154" s="14"/>
      <c r="DPN154" s="14"/>
      <c r="DPO154" s="14"/>
      <c r="DPP154" s="14"/>
      <c r="DPQ154" s="14"/>
      <c r="DPR154" s="14"/>
      <c r="DPS154" s="14"/>
      <c r="DPT154" s="14"/>
      <c r="DPU154" s="14"/>
      <c r="DPV154" s="14"/>
      <c r="DPW154" s="14"/>
      <c r="DPX154" s="14"/>
      <c r="DPY154" s="14"/>
      <c r="DPZ154" s="14"/>
      <c r="DQA154" s="14"/>
      <c r="DQB154" s="14"/>
      <c r="DQC154" s="14"/>
      <c r="DQD154" s="14"/>
      <c r="DQE154" s="14"/>
      <c r="DQF154" s="14"/>
      <c r="DQG154" s="14"/>
      <c r="DQH154" s="14"/>
      <c r="DQI154" s="14"/>
      <c r="DQJ154" s="14"/>
      <c r="DQK154" s="14"/>
      <c r="DQL154" s="14"/>
      <c r="DQM154" s="14"/>
      <c r="DQN154" s="14"/>
      <c r="DQO154" s="14"/>
      <c r="DQP154" s="14"/>
      <c r="DQQ154" s="14"/>
      <c r="DQR154" s="14"/>
      <c r="DQS154" s="14"/>
      <c r="DQT154" s="14"/>
      <c r="DQU154" s="14"/>
      <c r="DQV154" s="14"/>
      <c r="DQW154" s="14"/>
      <c r="DQX154" s="14"/>
      <c r="DQY154" s="14"/>
      <c r="DQZ154" s="14"/>
      <c r="DRA154" s="14"/>
      <c r="DRB154" s="14"/>
      <c r="DRC154" s="14"/>
      <c r="DRD154" s="14"/>
      <c r="DRE154" s="14"/>
      <c r="DRF154" s="14"/>
      <c r="DRG154" s="14"/>
      <c r="DRH154" s="14"/>
      <c r="DRI154" s="14"/>
      <c r="DRJ154" s="14"/>
      <c r="DRK154" s="14"/>
      <c r="DRL154" s="14"/>
      <c r="DRM154" s="14"/>
      <c r="DRN154" s="14"/>
      <c r="DRO154" s="14"/>
      <c r="DRP154" s="14"/>
      <c r="DRQ154" s="14"/>
      <c r="DRR154" s="14"/>
      <c r="DRS154" s="14"/>
      <c r="DRT154" s="14"/>
      <c r="DRU154" s="14"/>
      <c r="DRV154" s="14"/>
      <c r="DRW154" s="14"/>
      <c r="DRX154" s="14"/>
      <c r="DRY154" s="14"/>
      <c r="DRZ154" s="14"/>
      <c r="DSA154" s="14"/>
      <c r="DSB154" s="14"/>
      <c r="DSC154" s="14"/>
      <c r="DSD154" s="14"/>
      <c r="DSE154" s="14"/>
      <c r="DSF154" s="14"/>
      <c r="DSG154" s="14"/>
      <c r="DSH154" s="14"/>
      <c r="DSI154" s="14"/>
      <c r="DSJ154" s="14"/>
      <c r="DSK154" s="14"/>
      <c r="DSL154" s="14"/>
      <c r="DSM154" s="14"/>
      <c r="DSN154" s="14"/>
      <c r="DSO154" s="14"/>
      <c r="DSP154" s="14"/>
      <c r="DSQ154" s="14"/>
      <c r="DSR154" s="14"/>
      <c r="DSS154" s="14"/>
      <c r="DST154" s="14"/>
      <c r="DSU154" s="14"/>
      <c r="DSV154" s="14"/>
      <c r="DSW154" s="14"/>
      <c r="DSX154" s="14"/>
      <c r="DSY154" s="14"/>
      <c r="DSZ154" s="14"/>
      <c r="DTA154" s="14"/>
      <c r="DTB154" s="14"/>
      <c r="DTC154" s="14"/>
      <c r="DTD154" s="14"/>
      <c r="DTE154" s="14"/>
      <c r="DTF154" s="14"/>
      <c r="DTG154" s="14"/>
      <c r="DTH154" s="14"/>
      <c r="DTI154" s="14"/>
      <c r="DTJ154" s="14"/>
      <c r="DTK154" s="14"/>
      <c r="DTL154" s="14"/>
      <c r="DTM154" s="14"/>
      <c r="DTN154" s="14"/>
      <c r="DTO154" s="14"/>
      <c r="DTP154" s="14"/>
      <c r="DTQ154" s="14"/>
      <c r="DTR154" s="14"/>
      <c r="DTS154" s="14"/>
      <c r="DTT154" s="14"/>
      <c r="DTU154" s="14"/>
      <c r="DTV154" s="14"/>
      <c r="DTW154" s="14"/>
      <c r="DTX154" s="14"/>
      <c r="DTY154" s="14"/>
      <c r="DTZ154" s="14"/>
      <c r="DUA154" s="14"/>
      <c r="DUB154" s="14"/>
      <c r="DUC154" s="14"/>
      <c r="DUD154" s="14"/>
      <c r="DUE154" s="14"/>
      <c r="DUF154" s="14"/>
      <c r="DUG154" s="14"/>
      <c r="DUH154" s="14"/>
      <c r="DUI154" s="14"/>
      <c r="DUJ154" s="14"/>
      <c r="DUK154" s="14"/>
      <c r="DUL154" s="14"/>
      <c r="DUM154" s="14"/>
      <c r="DUN154" s="14"/>
      <c r="DUO154" s="14"/>
      <c r="DUP154" s="14"/>
      <c r="DUQ154" s="14"/>
      <c r="DUR154" s="14"/>
      <c r="DUS154" s="14"/>
      <c r="DUT154" s="14"/>
      <c r="DUU154" s="14"/>
      <c r="DUV154" s="14"/>
      <c r="DUW154" s="14"/>
      <c r="DUX154" s="14"/>
      <c r="DUY154" s="14"/>
      <c r="DUZ154" s="14"/>
      <c r="DVA154" s="14"/>
      <c r="DVB154" s="14"/>
      <c r="DVC154" s="14"/>
      <c r="DVD154" s="14"/>
      <c r="DVE154" s="14"/>
      <c r="DVF154" s="14"/>
      <c r="DVG154" s="14"/>
      <c r="DVH154" s="14"/>
      <c r="DVI154" s="14"/>
      <c r="DVJ154" s="14"/>
      <c r="DVK154" s="14"/>
      <c r="DVL154" s="14"/>
      <c r="DVM154" s="14"/>
      <c r="DVN154" s="14"/>
      <c r="DVO154" s="14"/>
      <c r="DVP154" s="14"/>
      <c r="DVQ154" s="14"/>
      <c r="DVR154" s="14"/>
      <c r="DVS154" s="14"/>
      <c r="DVT154" s="14"/>
      <c r="DVU154" s="14"/>
      <c r="DVV154" s="14"/>
      <c r="DVW154" s="14"/>
      <c r="DVX154" s="14"/>
      <c r="DVY154" s="14"/>
      <c r="DVZ154" s="14"/>
      <c r="DWA154" s="14"/>
      <c r="DWB154" s="14"/>
      <c r="DWC154" s="14"/>
      <c r="DWD154" s="14"/>
      <c r="DWE154" s="14"/>
      <c r="DWF154" s="14"/>
      <c r="DWG154" s="14"/>
      <c r="DWH154" s="14"/>
      <c r="DWI154" s="14"/>
      <c r="DWJ154" s="14"/>
      <c r="DWK154" s="14"/>
      <c r="DWL154" s="14"/>
      <c r="DWM154" s="14"/>
      <c r="DWN154" s="14"/>
      <c r="DWO154" s="14"/>
      <c r="DWP154" s="14"/>
      <c r="DWQ154" s="14"/>
      <c r="DWR154" s="14"/>
      <c r="DWS154" s="14"/>
      <c r="DWT154" s="14"/>
      <c r="DWU154" s="14"/>
      <c r="DWV154" s="14"/>
      <c r="DWW154" s="14"/>
      <c r="DWX154" s="14"/>
      <c r="DWY154" s="14"/>
      <c r="DWZ154" s="14"/>
      <c r="DXA154" s="14"/>
      <c r="DXB154" s="14"/>
      <c r="DXC154" s="14"/>
      <c r="DXD154" s="14"/>
      <c r="DXE154" s="14"/>
      <c r="DXF154" s="14"/>
      <c r="DXG154" s="14"/>
      <c r="DXH154" s="14"/>
      <c r="DXI154" s="14"/>
      <c r="DXJ154" s="14"/>
      <c r="DXK154" s="14"/>
      <c r="DXL154" s="14"/>
      <c r="DXM154" s="14"/>
      <c r="DXN154" s="14"/>
      <c r="DXO154" s="14"/>
      <c r="DXP154" s="14"/>
      <c r="DXQ154" s="14"/>
      <c r="DXR154" s="14"/>
      <c r="DXS154" s="14"/>
      <c r="DXT154" s="14"/>
      <c r="DXU154" s="14"/>
      <c r="DXV154" s="14"/>
      <c r="DXW154" s="14"/>
      <c r="DXX154" s="14"/>
      <c r="DXY154" s="14"/>
      <c r="DXZ154" s="14"/>
      <c r="DYA154" s="14"/>
      <c r="DYB154" s="14"/>
      <c r="DYC154" s="14"/>
      <c r="DYD154" s="14"/>
      <c r="DYE154" s="14"/>
      <c r="DYF154" s="14"/>
      <c r="DYG154" s="14"/>
      <c r="DYH154" s="14"/>
      <c r="DYI154" s="14"/>
      <c r="DYJ154" s="14"/>
      <c r="DYK154" s="14"/>
      <c r="DYL154" s="14"/>
      <c r="DYM154" s="14"/>
      <c r="DYN154" s="14"/>
      <c r="DYO154" s="14"/>
      <c r="DYP154" s="14"/>
      <c r="DYQ154" s="14"/>
      <c r="DYR154" s="14"/>
      <c r="DYS154" s="14"/>
      <c r="DYT154" s="14"/>
      <c r="DYU154" s="14"/>
      <c r="DYV154" s="14"/>
      <c r="DYW154" s="14"/>
      <c r="DYX154" s="14"/>
      <c r="DYY154" s="14"/>
      <c r="DYZ154" s="14"/>
      <c r="DZA154" s="14"/>
      <c r="DZB154" s="14"/>
      <c r="DZC154" s="14"/>
      <c r="DZD154" s="14"/>
      <c r="DZE154" s="14"/>
      <c r="DZF154" s="14"/>
      <c r="DZG154" s="14"/>
      <c r="DZH154" s="14"/>
      <c r="DZI154" s="14"/>
      <c r="DZJ154" s="14"/>
      <c r="DZK154" s="14"/>
      <c r="DZL154" s="14"/>
      <c r="DZM154" s="14"/>
      <c r="DZN154" s="14"/>
      <c r="DZO154" s="14"/>
      <c r="DZP154" s="14"/>
      <c r="DZQ154" s="14"/>
      <c r="DZR154" s="14"/>
      <c r="DZS154" s="14"/>
      <c r="DZT154" s="14"/>
      <c r="DZU154" s="14"/>
      <c r="DZV154" s="14"/>
      <c r="DZW154" s="14"/>
      <c r="DZX154" s="14"/>
      <c r="DZY154" s="14"/>
      <c r="DZZ154" s="14"/>
      <c r="EAA154" s="14"/>
      <c r="EAB154" s="14"/>
      <c r="EAC154" s="14"/>
      <c r="EAD154" s="14"/>
      <c r="EAE154" s="14"/>
      <c r="EAF154" s="14"/>
      <c r="EAG154" s="14"/>
      <c r="EAH154" s="14"/>
      <c r="EAI154" s="14"/>
      <c r="EAJ154" s="14"/>
      <c r="EAK154" s="14"/>
      <c r="EAL154" s="14"/>
      <c r="EAM154" s="14"/>
      <c r="EAN154" s="14"/>
      <c r="EAO154" s="14"/>
      <c r="EAP154" s="14"/>
      <c r="EAQ154" s="14"/>
      <c r="EAR154" s="14"/>
      <c r="EAS154" s="14"/>
      <c r="EAT154" s="14"/>
      <c r="EAU154" s="14"/>
      <c r="EAV154" s="14"/>
      <c r="EAW154" s="14"/>
      <c r="EAX154" s="14"/>
      <c r="EAY154" s="14"/>
      <c r="EAZ154" s="14"/>
      <c r="EBA154" s="14"/>
      <c r="EBB154" s="14"/>
      <c r="EBC154" s="14"/>
      <c r="EBD154" s="14"/>
      <c r="EBE154" s="14"/>
      <c r="EBF154" s="14"/>
      <c r="EBG154" s="14"/>
      <c r="EBH154" s="14"/>
      <c r="EBI154" s="14"/>
      <c r="EBJ154" s="14"/>
      <c r="EBK154" s="14"/>
      <c r="EBL154" s="14"/>
      <c r="EBM154" s="14"/>
      <c r="EBN154" s="14"/>
      <c r="EBO154" s="14"/>
      <c r="EBP154" s="14"/>
      <c r="EBQ154" s="14"/>
      <c r="EBR154" s="14"/>
      <c r="EBS154" s="14"/>
      <c r="EBT154" s="14"/>
      <c r="EBU154" s="14"/>
      <c r="EBV154" s="14"/>
      <c r="EBW154" s="14"/>
      <c r="EBX154" s="14"/>
      <c r="EBY154" s="14"/>
      <c r="EBZ154" s="14"/>
      <c r="ECA154" s="14"/>
      <c r="ECB154" s="14"/>
      <c r="ECC154" s="14"/>
      <c r="ECD154" s="14"/>
      <c r="ECE154" s="14"/>
      <c r="ECF154" s="14"/>
      <c r="ECG154" s="14"/>
      <c r="ECH154" s="14"/>
      <c r="ECI154" s="14"/>
      <c r="ECJ154" s="14"/>
      <c r="ECK154" s="14"/>
      <c r="ECL154" s="14"/>
      <c r="ECM154" s="14"/>
      <c r="ECN154" s="14"/>
      <c r="ECO154" s="14"/>
      <c r="ECP154" s="14"/>
      <c r="ECQ154" s="14"/>
      <c r="ECR154" s="14"/>
      <c r="ECS154" s="14"/>
      <c r="ECT154" s="14"/>
      <c r="ECU154" s="14"/>
      <c r="ECV154" s="14"/>
      <c r="ECW154" s="14"/>
      <c r="ECX154" s="14"/>
      <c r="ECY154" s="14"/>
      <c r="ECZ154" s="14"/>
      <c r="EDA154" s="14"/>
      <c r="EDB154" s="14"/>
      <c r="EDC154" s="14"/>
      <c r="EDD154" s="14"/>
      <c r="EDE154" s="14"/>
      <c r="EDF154" s="14"/>
      <c r="EDG154" s="14"/>
      <c r="EDH154" s="14"/>
      <c r="EDI154" s="14"/>
      <c r="EDJ154" s="14"/>
      <c r="EDK154" s="14"/>
      <c r="EDL154" s="14"/>
      <c r="EDM154" s="14"/>
      <c r="EDN154" s="14"/>
      <c r="EDO154" s="14"/>
      <c r="EDP154" s="14"/>
      <c r="EDQ154" s="14"/>
      <c r="EDR154" s="14"/>
      <c r="EDS154" s="14"/>
      <c r="EDT154" s="14"/>
      <c r="EDU154" s="14"/>
      <c r="EDV154" s="14"/>
      <c r="EDW154" s="14"/>
      <c r="EDX154" s="14"/>
      <c r="EDY154" s="14"/>
      <c r="EDZ154" s="14"/>
      <c r="EEA154" s="14"/>
      <c r="EEB154" s="14"/>
      <c r="EEC154" s="14"/>
      <c r="EED154" s="14"/>
      <c r="EEE154" s="14"/>
      <c r="EEF154" s="14"/>
      <c r="EEG154" s="14"/>
      <c r="EEH154" s="14"/>
      <c r="EEI154" s="14"/>
      <c r="EEJ154" s="14"/>
      <c r="EEK154" s="14"/>
      <c r="EEL154" s="14"/>
      <c r="EEM154" s="14"/>
      <c r="EEN154" s="14"/>
      <c r="EEO154" s="14"/>
      <c r="EEP154" s="14"/>
      <c r="EEQ154" s="14"/>
      <c r="EER154" s="14"/>
      <c r="EES154" s="14"/>
      <c r="EET154" s="14"/>
      <c r="EEU154" s="14"/>
      <c r="EEV154" s="14"/>
      <c r="EEW154" s="14"/>
      <c r="EEX154" s="14"/>
      <c r="EEY154" s="14"/>
      <c r="EEZ154" s="14"/>
      <c r="EFA154" s="14"/>
      <c r="EFB154" s="14"/>
      <c r="EFC154" s="14"/>
      <c r="EFD154" s="14"/>
      <c r="EFE154" s="14"/>
      <c r="EFF154" s="14"/>
      <c r="EFG154" s="14"/>
      <c r="EFH154" s="14"/>
      <c r="EFI154" s="14"/>
      <c r="EFJ154" s="14"/>
      <c r="EFK154" s="14"/>
      <c r="EFL154" s="14"/>
      <c r="EFM154" s="14"/>
      <c r="EFN154" s="14"/>
      <c r="EFO154" s="14"/>
      <c r="EFP154" s="14"/>
      <c r="EFQ154" s="14"/>
      <c r="EFR154" s="14"/>
      <c r="EFS154" s="14"/>
      <c r="EFT154" s="14"/>
      <c r="EFU154" s="14"/>
      <c r="EFV154" s="14"/>
      <c r="EFW154" s="14"/>
      <c r="EFX154" s="14"/>
      <c r="EFY154" s="14"/>
      <c r="EFZ154" s="14"/>
      <c r="EGA154" s="14"/>
      <c r="EGB154" s="14"/>
      <c r="EGC154" s="14"/>
      <c r="EGD154" s="14"/>
      <c r="EGE154" s="14"/>
      <c r="EGF154" s="14"/>
      <c r="EGG154" s="14"/>
      <c r="EGH154" s="14"/>
      <c r="EGI154" s="14"/>
      <c r="EGJ154" s="14"/>
      <c r="EGK154" s="14"/>
      <c r="EGL154" s="14"/>
      <c r="EGM154" s="14"/>
      <c r="EGN154" s="14"/>
      <c r="EGO154" s="14"/>
      <c r="EGP154" s="14"/>
      <c r="EGQ154" s="14"/>
      <c r="EGR154" s="14"/>
      <c r="EGS154" s="14"/>
      <c r="EGT154" s="14"/>
      <c r="EGU154" s="14"/>
      <c r="EGV154" s="14"/>
      <c r="EGW154" s="14"/>
      <c r="EGX154" s="14"/>
      <c r="EGY154" s="14"/>
      <c r="EGZ154" s="14"/>
      <c r="EHA154" s="14"/>
      <c r="EHB154" s="14"/>
      <c r="EHC154" s="14"/>
      <c r="EHD154" s="14"/>
      <c r="EHE154" s="14"/>
      <c r="EHF154" s="14"/>
      <c r="EHG154" s="14"/>
      <c r="EHH154" s="14"/>
      <c r="EHI154" s="14"/>
      <c r="EHJ154" s="14"/>
      <c r="EHK154" s="14"/>
      <c r="EHL154" s="14"/>
      <c r="EHM154" s="14"/>
      <c r="EHN154" s="14"/>
      <c r="EHO154" s="14"/>
      <c r="EHP154" s="14"/>
      <c r="EHQ154" s="14"/>
      <c r="EHR154" s="14"/>
      <c r="EHS154" s="14"/>
      <c r="EHT154" s="14"/>
      <c r="EHU154" s="14"/>
      <c r="EHV154" s="14"/>
      <c r="EHW154" s="14"/>
      <c r="EHX154" s="14"/>
      <c r="EHY154" s="14"/>
      <c r="EHZ154" s="14"/>
      <c r="EIA154" s="14"/>
      <c r="EIB154" s="14"/>
      <c r="EIC154" s="14"/>
      <c r="EID154" s="14"/>
      <c r="EIE154" s="14"/>
      <c r="EIF154" s="14"/>
      <c r="EIG154" s="14"/>
      <c r="EIH154" s="14"/>
      <c r="EII154" s="14"/>
      <c r="EIJ154" s="14"/>
      <c r="EIK154" s="14"/>
      <c r="EIL154" s="14"/>
      <c r="EIM154" s="14"/>
      <c r="EIN154" s="14"/>
      <c r="EIO154" s="14"/>
      <c r="EIP154" s="14"/>
      <c r="EIQ154" s="14"/>
      <c r="EIR154" s="14"/>
      <c r="EIS154" s="14"/>
      <c r="EIT154" s="14"/>
      <c r="EIU154" s="14"/>
      <c r="EIV154" s="14"/>
      <c r="EIW154" s="14"/>
      <c r="EIX154" s="14"/>
      <c r="EIY154" s="14"/>
      <c r="EIZ154" s="14"/>
      <c r="EJA154" s="14"/>
      <c r="EJB154" s="14"/>
      <c r="EJC154" s="14"/>
      <c r="EJD154" s="14"/>
      <c r="EJE154" s="14"/>
      <c r="EJF154" s="14"/>
      <c r="EJG154" s="14"/>
      <c r="EJH154" s="14"/>
      <c r="EJI154" s="14"/>
      <c r="EJJ154" s="14"/>
      <c r="EJK154" s="14"/>
      <c r="EJL154" s="14"/>
      <c r="EJM154" s="14"/>
      <c r="EJN154" s="14"/>
      <c r="EJO154" s="14"/>
      <c r="EJP154" s="14"/>
      <c r="EJQ154" s="14"/>
      <c r="EJR154" s="14"/>
      <c r="EJS154" s="14"/>
      <c r="EJT154" s="14"/>
      <c r="EJU154" s="14"/>
      <c r="EJV154" s="14"/>
      <c r="EJW154" s="14"/>
      <c r="EJX154" s="14"/>
      <c r="EJY154" s="14"/>
      <c r="EJZ154" s="14"/>
      <c r="EKA154" s="14"/>
      <c r="EKB154" s="14"/>
      <c r="EKC154" s="14"/>
      <c r="EKD154" s="14"/>
      <c r="EKE154" s="14"/>
      <c r="EKF154" s="14"/>
      <c r="EKG154" s="14"/>
      <c r="EKH154" s="14"/>
      <c r="EKI154" s="14"/>
      <c r="EKJ154" s="14"/>
      <c r="EKK154" s="14"/>
      <c r="EKL154" s="14"/>
      <c r="EKM154" s="14"/>
      <c r="EKN154" s="14"/>
      <c r="EKO154" s="14"/>
      <c r="EKP154" s="14"/>
      <c r="EKQ154" s="14"/>
      <c r="EKR154" s="14"/>
      <c r="EKS154" s="14"/>
      <c r="EKT154" s="14"/>
      <c r="EKU154" s="14"/>
      <c r="EKV154" s="14"/>
      <c r="EKW154" s="14"/>
      <c r="EKX154" s="14"/>
      <c r="EKY154" s="14"/>
      <c r="EKZ154" s="14"/>
      <c r="ELA154" s="14"/>
      <c r="ELB154" s="14"/>
      <c r="ELC154" s="14"/>
      <c r="ELD154" s="14"/>
      <c r="ELE154" s="14"/>
      <c r="ELF154" s="14"/>
      <c r="ELG154" s="14"/>
      <c r="ELH154" s="14"/>
      <c r="ELI154" s="14"/>
      <c r="ELJ154" s="14"/>
      <c r="ELK154" s="14"/>
      <c r="ELL154" s="14"/>
      <c r="ELM154" s="14"/>
      <c r="ELN154" s="14"/>
      <c r="ELO154" s="14"/>
      <c r="ELP154" s="14"/>
      <c r="ELQ154" s="14"/>
      <c r="ELR154" s="14"/>
      <c r="ELS154" s="14"/>
      <c r="ELT154" s="14"/>
      <c r="ELU154" s="14"/>
      <c r="ELV154" s="14"/>
      <c r="ELW154" s="14"/>
      <c r="ELX154" s="14"/>
      <c r="ELY154" s="14"/>
      <c r="ELZ154" s="14"/>
      <c r="EMA154" s="14"/>
      <c r="EMB154" s="14"/>
      <c r="EMC154" s="14"/>
      <c r="EMD154" s="14"/>
      <c r="EME154" s="14"/>
      <c r="EMF154" s="14"/>
      <c r="EMG154" s="14"/>
      <c r="EMH154" s="14"/>
      <c r="EMI154" s="14"/>
      <c r="EMJ154" s="14"/>
      <c r="EMK154" s="14"/>
      <c r="EML154" s="14"/>
      <c r="EMM154" s="14"/>
      <c r="EMN154" s="14"/>
      <c r="EMO154" s="14"/>
      <c r="EMP154" s="14"/>
      <c r="EMQ154" s="14"/>
      <c r="EMR154" s="14"/>
      <c r="EMS154" s="14"/>
      <c r="EMT154" s="14"/>
      <c r="EMU154" s="14"/>
      <c r="EMV154" s="14"/>
      <c r="EMW154" s="14"/>
      <c r="EMX154" s="14"/>
      <c r="EMY154" s="14"/>
      <c r="EMZ154" s="14"/>
      <c r="ENA154" s="14"/>
      <c r="ENB154" s="14"/>
      <c r="ENC154" s="14"/>
      <c r="END154" s="14"/>
      <c r="ENE154" s="14"/>
      <c r="ENF154" s="14"/>
      <c r="ENG154" s="14"/>
      <c r="ENH154" s="14"/>
      <c r="ENI154" s="14"/>
      <c r="ENJ154" s="14"/>
      <c r="ENK154" s="14"/>
      <c r="ENL154" s="14"/>
      <c r="ENM154" s="14"/>
      <c r="ENN154" s="14"/>
      <c r="ENO154" s="14"/>
      <c r="ENP154" s="14"/>
      <c r="ENQ154" s="14"/>
      <c r="ENR154" s="14"/>
      <c r="ENS154" s="14"/>
      <c r="ENT154" s="14"/>
      <c r="ENU154" s="14"/>
      <c r="ENV154" s="14"/>
      <c r="ENW154" s="14"/>
      <c r="ENX154" s="14"/>
      <c r="ENY154" s="14"/>
      <c r="ENZ154" s="14"/>
      <c r="EOA154" s="14"/>
      <c r="EOB154" s="14"/>
      <c r="EOC154" s="14"/>
      <c r="EOD154" s="14"/>
      <c r="EOE154" s="14"/>
      <c r="EOF154" s="14"/>
      <c r="EOG154" s="14"/>
      <c r="EOH154" s="14"/>
      <c r="EOI154" s="14"/>
      <c r="EOJ154" s="14"/>
      <c r="EOK154" s="14"/>
      <c r="EOL154" s="14"/>
      <c r="EOM154" s="14"/>
      <c r="EON154" s="14"/>
      <c r="EOO154" s="14"/>
      <c r="EOP154" s="14"/>
      <c r="EOQ154" s="14"/>
      <c r="EOR154" s="14"/>
      <c r="EOS154" s="14"/>
      <c r="EOT154" s="14"/>
      <c r="EOU154" s="14"/>
      <c r="EOV154" s="14"/>
      <c r="EOW154" s="14"/>
      <c r="EOX154" s="14"/>
      <c r="EOY154" s="14"/>
      <c r="EOZ154" s="14"/>
      <c r="EPA154" s="14"/>
      <c r="EPB154" s="14"/>
      <c r="EPC154" s="14"/>
      <c r="EPD154" s="14"/>
      <c r="EPE154" s="14"/>
      <c r="EPF154" s="14"/>
      <c r="EPG154" s="14"/>
      <c r="EPH154" s="14"/>
      <c r="EPI154" s="14"/>
      <c r="EPJ154" s="14"/>
      <c r="EPK154" s="14"/>
      <c r="EPL154" s="14"/>
      <c r="EPM154" s="14"/>
      <c r="EPN154" s="14"/>
      <c r="EPO154" s="14"/>
      <c r="EPP154" s="14"/>
      <c r="EPQ154" s="14"/>
      <c r="EPR154" s="14"/>
      <c r="EPS154" s="14"/>
      <c r="EPT154" s="14"/>
      <c r="EPU154" s="14"/>
      <c r="EPV154" s="14"/>
      <c r="EPW154" s="14"/>
      <c r="EPX154" s="14"/>
      <c r="EPY154" s="14"/>
      <c r="EPZ154" s="14"/>
      <c r="EQA154" s="14"/>
      <c r="EQB154" s="14"/>
      <c r="EQC154" s="14"/>
      <c r="EQD154" s="14"/>
      <c r="EQE154" s="14"/>
      <c r="EQF154" s="14"/>
      <c r="EQG154" s="14"/>
      <c r="EQH154" s="14"/>
      <c r="EQI154" s="14"/>
      <c r="EQJ154" s="14"/>
      <c r="EQK154" s="14"/>
      <c r="EQL154" s="14"/>
      <c r="EQM154" s="14"/>
      <c r="EQN154" s="14"/>
      <c r="EQO154" s="14"/>
      <c r="EQP154" s="14"/>
      <c r="EQQ154" s="14"/>
      <c r="EQR154" s="14"/>
      <c r="EQS154" s="14"/>
      <c r="EQT154" s="14"/>
      <c r="EQU154" s="14"/>
      <c r="EQV154" s="14"/>
      <c r="EQW154" s="14"/>
      <c r="EQX154" s="14"/>
      <c r="EQY154" s="14"/>
      <c r="EQZ154" s="14"/>
      <c r="ERA154" s="14"/>
      <c r="ERB154" s="14"/>
      <c r="ERC154" s="14"/>
      <c r="ERD154" s="14"/>
      <c r="ERE154" s="14"/>
      <c r="ERF154" s="14"/>
      <c r="ERG154" s="14"/>
      <c r="ERH154" s="14"/>
      <c r="ERI154" s="14"/>
      <c r="ERJ154" s="14"/>
      <c r="ERK154" s="14"/>
      <c r="ERL154" s="14"/>
      <c r="ERM154" s="14"/>
      <c r="ERN154" s="14"/>
      <c r="ERO154" s="14"/>
      <c r="ERP154" s="14"/>
      <c r="ERQ154" s="14"/>
      <c r="ERR154" s="14"/>
      <c r="ERS154" s="14"/>
      <c r="ERT154" s="14"/>
      <c r="ERU154" s="14"/>
      <c r="ERV154" s="14"/>
      <c r="ERW154" s="14"/>
      <c r="ERX154" s="14"/>
      <c r="ERY154" s="14"/>
      <c r="ERZ154" s="14"/>
      <c r="ESA154" s="14"/>
      <c r="ESB154" s="14"/>
      <c r="ESC154" s="14"/>
      <c r="ESD154" s="14"/>
      <c r="ESE154" s="14"/>
      <c r="ESF154" s="14"/>
      <c r="ESG154" s="14"/>
      <c r="ESH154" s="14"/>
      <c r="ESI154" s="14"/>
      <c r="ESJ154" s="14"/>
      <c r="ESK154" s="14"/>
      <c r="ESL154" s="14"/>
      <c r="ESM154" s="14"/>
      <c r="ESN154" s="14"/>
      <c r="ESO154" s="14"/>
      <c r="ESP154" s="14"/>
      <c r="ESQ154" s="14"/>
      <c r="ESR154" s="14"/>
      <c r="ESS154" s="14"/>
      <c r="EST154" s="14"/>
      <c r="ESU154" s="14"/>
      <c r="ESV154" s="14"/>
      <c r="ESW154" s="14"/>
      <c r="ESX154" s="14"/>
      <c r="ESY154" s="14"/>
      <c r="ESZ154" s="14"/>
      <c r="ETA154" s="14"/>
      <c r="ETB154" s="14"/>
      <c r="ETC154" s="14"/>
      <c r="ETD154" s="14"/>
      <c r="ETE154" s="14"/>
      <c r="ETF154" s="14"/>
      <c r="ETG154" s="14"/>
      <c r="ETH154" s="14"/>
      <c r="ETI154" s="14"/>
      <c r="ETJ154" s="14"/>
      <c r="ETK154" s="14"/>
      <c r="ETL154" s="14"/>
      <c r="ETM154" s="14"/>
      <c r="ETN154" s="14"/>
      <c r="ETO154" s="14"/>
      <c r="ETP154" s="14"/>
      <c r="ETQ154" s="14"/>
      <c r="ETR154" s="14"/>
      <c r="ETS154" s="14"/>
      <c r="ETT154" s="14"/>
      <c r="ETU154" s="14"/>
      <c r="ETV154" s="14"/>
      <c r="ETW154" s="14"/>
      <c r="ETX154" s="14"/>
      <c r="ETY154" s="14"/>
      <c r="ETZ154" s="14"/>
      <c r="EUA154" s="14"/>
      <c r="EUB154" s="14"/>
      <c r="EUC154" s="14"/>
      <c r="EUD154" s="14"/>
      <c r="EUE154" s="14"/>
      <c r="EUF154" s="14"/>
      <c r="EUG154" s="14"/>
      <c r="EUH154" s="14"/>
      <c r="EUI154" s="14"/>
      <c r="EUJ154" s="14"/>
      <c r="EUK154" s="14"/>
      <c r="EUL154" s="14"/>
      <c r="EUM154" s="14"/>
      <c r="EUN154" s="14"/>
      <c r="EUO154" s="14"/>
      <c r="EUP154" s="14"/>
      <c r="EUQ154" s="14"/>
      <c r="EUR154" s="14"/>
      <c r="EUS154" s="14"/>
      <c r="EUT154" s="14"/>
      <c r="EUU154" s="14"/>
      <c r="EUV154" s="14"/>
      <c r="EUW154" s="14"/>
      <c r="EUX154" s="14"/>
      <c r="EUY154" s="14"/>
      <c r="EUZ154" s="14"/>
      <c r="EVA154" s="14"/>
      <c r="EVB154" s="14"/>
      <c r="EVC154" s="14"/>
      <c r="EVD154" s="14"/>
      <c r="EVE154" s="14"/>
      <c r="EVF154" s="14"/>
      <c r="EVG154" s="14"/>
      <c r="EVH154" s="14"/>
      <c r="EVI154" s="14"/>
      <c r="EVJ154" s="14"/>
      <c r="EVK154" s="14"/>
      <c r="EVL154" s="14"/>
      <c r="EVM154" s="14"/>
      <c r="EVN154" s="14"/>
      <c r="EVO154" s="14"/>
      <c r="EVP154" s="14"/>
      <c r="EVQ154" s="14"/>
      <c r="EVR154" s="14"/>
      <c r="EVS154" s="14"/>
      <c r="EVT154" s="14"/>
      <c r="EVU154" s="14"/>
      <c r="EVV154" s="14"/>
      <c r="EVW154" s="14"/>
      <c r="EVX154" s="14"/>
      <c r="EVY154" s="14"/>
      <c r="EVZ154" s="14"/>
      <c r="EWA154" s="14"/>
      <c r="EWB154" s="14"/>
      <c r="EWC154" s="14"/>
      <c r="EWD154" s="14"/>
      <c r="EWE154" s="14"/>
      <c r="EWF154" s="14"/>
      <c r="EWG154" s="14"/>
      <c r="EWH154" s="14"/>
      <c r="EWI154" s="14"/>
      <c r="EWJ154" s="14"/>
      <c r="EWK154" s="14"/>
      <c r="EWL154" s="14"/>
      <c r="EWM154" s="14"/>
      <c r="EWN154" s="14"/>
      <c r="EWO154" s="14"/>
      <c r="EWP154" s="14"/>
      <c r="EWQ154" s="14"/>
      <c r="EWR154" s="14"/>
      <c r="EWS154" s="14"/>
      <c r="EWT154" s="14"/>
      <c r="EWU154" s="14"/>
      <c r="EWV154" s="14"/>
      <c r="EWW154" s="14"/>
      <c r="EWX154" s="14"/>
      <c r="EWY154" s="14"/>
      <c r="EWZ154" s="14"/>
      <c r="EXA154" s="14"/>
      <c r="EXB154" s="14"/>
      <c r="EXC154" s="14"/>
      <c r="EXD154" s="14"/>
      <c r="EXE154" s="14"/>
      <c r="EXF154" s="14"/>
      <c r="EXG154" s="14"/>
      <c r="EXH154" s="14"/>
      <c r="EXI154" s="14"/>
      <c r="EXJ154" s="14"/>
      <c r="EXK154" s="14"/>
      <c r="EXL154" s="14"/>
      <c r="EXM154" s="14"/>
      <c r="EXN154" s="14"/>
      <c r="EXO154" s="14"/>
      <c r="EXP154" s="14"/>
      <c r="EXQ154" s="14"/>
      <c r="EXR154" s="14"/>
      <c r="EXS154" s="14"/>
      <c r="EXT154" s="14"/>
      <c r="EXU154" s="14"/>
      <c r="EXV154" s="14"/>
      <c r="EXW154" s="14"/>
      <c r="EXX154" s="14"/>
      <c r="EXY154" s="14"/>
      <c r="EXZ154" s="14"/>
      <c r="EYA154" s="14"/>
      <c r="EYB154" s="14"/>
      <c r="EYC154" s="14"/>
      <c r="EYD154" s="14"/>
      <c r="EYE154" s="14"/>
      <c r="EYF154" s="14"/>
      <c r="EYG154" s="14"/>
      <c r="EYH154" s="14"/>
      <c r="EYI154" s="14"/>
      <c r="EYJ154" s="14"/>
      <c r="EYK154" s="14"/>
      <c r="EYL154" s="14"/>
      <c r="EYM154" s="14"/>
      <c r="EYN154" s="14"/>
      <c r="EYO154" s="14"/>
      <c r="EYP154" s="14"/>
      <c r="EYQ154" s="14"/>
      <c r="EYR154" s="14"/>
      <c r="EYS154" s="14"/>
      <c r="EYT154" s="14"/>
      <c r="EYU154" s="14"/>
      <c r="EYV154" s="14"/>
      <c r="EYW154" s="14"/>
      <c r="EYX154" s="14"/>
      <c r="EYY154" s="14"/>
      <c r="EYZ154" s="14"/>
      <c r="EZA154" s="14"/>
      <c r="EZB154" s="14"/>
      <c r="EZC154" s="14"/>
      <c r="EZD154" s="14"/>
      <c r="EZE154" s="14"/>
      <c r="EZF154" s="14"/>
      <c r="EZG154" s="14"/>
      <c r="EZH154" s="14"/>
      <c r="EZI154" s="14"/>
      <c r="EZJ154" s="14"/>
      <c r="EZK154" s="14"/>
      <c r="EZL154" s="14"/>
      <c r="EZM154" s="14"/>
      <c r="EZN154" s="14"/>
      <c r="EZO154" s="14"/>
      <c r="EZP154" s="14"/>
      <c r="EZQ154" s="14"/>
      <c r="EZR154" s="14"/>
      <c r="EZS154" s="14"/>
      <c r="EZT154" s="14"/>
      <c r="EZU154" s="14"/>
      <c r="EZV154" s="14"/>
      <c r="EZW154" s="14"/>
      <c r="EZX154" s="14"/>
      <c r="EZY154" s="14"/>
      <c r="EZZ154" s="14"/>
      <c r="FAA154" s="14"/>
      <c r="FAB154" s="14"/>
      <c r="FAC154" s="14"/>
      <c r="FAD154" s="14"/>
      <c r="FAE154" s="14"/>
      <c r="FAF154" s="14"/>
      <c r="FAG154" s="14"/>
      <c r="FAH154" s="14"/>
      <c r="FAI154" s="14"/>
      <c r="FAJ154" s="14"/>
      <c r="FAK154" s="14"/>
      <c r="FAL154" s="14"/>
      <c r="FAM154" s="14"/>
      <c r="FAN154" s="14"/>
      <c r="FAO154" s="14"/>
      <c r="FAP154" s="14"/>
      <c r="FAQ154" s="14"/>
      <c r="FAR154" s="14"/>
      <c r="FAS154" s="14"/>
      <c r="FAT154" s="14"/>
      <c r="FAU154" s="14"/>
      <c r="FAV154" s="14"/>
      <c r="FAW154" s="14"/>
      <c r="FAX154" s="14"/>
      <c r="FAY154" s="14"/>
      <c r="FAZ154" s="14"/>
      <c r="FBA154" s="14"/>
      <c r="FBB154" s="14"/>
      <c r="FBC154" s="14"/>
      <c r="FBD154" s="14"/>
      <c r="FBE154" s="14"/>
      <c r="FBF154" s="14"/>
      <c r="FBG154" s="14"/>
      <c r="FBH154" s="14"/>
      <c r="FBI154" s="14"/>
      <c r="FBJ154" s="14"/>
      <c r="FBK154" s="14"/>
      <c r="FBL154" s="14"/>
      <c r="FBM154" s="14"/>
      <c r="FBN154" s="14"/>
      <c r="FBO154" s="14"/>
      <c r="FBP154" s="14"/>
      <c r="FBQ154" s="14"/>
      <c r="FBR154" s="14"/>
      <c r="FBS154" s="14"/>
      <c r="FBT154" s="14"/>
      <c r="FBU154" s="14"/>
      <c r="FBV154" s="14"/>
      <c r="FBW154" s="14"/>
      <c r="FBX154" s="14"/>
      <c r="FBY154" s="14"/>
      <c r="FBZ154" s="14"/>
      <c r="FCA154" s="14"/>
      <c r="FCB154" s="14"/>
      <c r="FCC154" s="14"/>
      <c r="FCD154" s="14"/>
      <c r="FCE154" s="14"/>
      <c r="FCF154" s="14"/>
      <c r="FCG154" s="14"/>
      <c r="FCH154" s="14"/>
      <c r="FCI154" s="14"/>
      <c r="FCJ154" s="14"/>
      <c r="FCK154" s="14"/>
      <c r="FCL154" s="14"/>
      <c r="FCM154" s="14"/>
      <c r="FCN154" s="14"/>
      <c r="FCO154" s="14"/>
      <c r="FCP154" s="14"/>
      <c r="FCQ154" s="14"/>
      <c r="FCR154" s="14"/>
      <c r="FCS154" s="14"/>
      <c r="FCT154" s="14"/>
      <c r="FCU154" s="14"/>
      <c r="FCV154" s="14"/>
      <c r="FCW154" s="14"/>
      <c r="FCX154" s="14"/>
      <c r="FCY154" s="14"/>
      <c r="FCZ154" s="14"/>
      <c r="FDA154" s="14"/>
      <c r="FDB154" s="14"/>
      <c r="FDC154" s="14"/>
      <c r="FDD154" s="14"/>
      <c r="FDE154" s="14"/>
      <c r="FDF154" s="14"/>
      <c r="FDG154" s="14"/>
      <c r="FDH154" s="14"/>
      <c r="FDI154" s="14"/>
      <c r="FDJ154" s="14"/>
      <c r="FDK154" s="14"/>
      <c r="FDL154" s="14"/>
      <c r="FDM154" s="14"/>
      <c r="FDN154" s="14"/>
      <c r="FDO154" s="14"/>
      <c r="FDP154" s="14"/>
      <c r="FDQ154" s="14"/>
      <c r="FDR154" s="14"/>
      <c r="FDS154" s="14"/>
      <c r="FDT154" s="14"/>
      <c r="FDU154" s="14"/>
      <c r="FDV154" s="14"/>
      <c r="FDW154" s="14"/>
      <c r="FDX154" s="14"/>
      <c r="FDY154" s="14"/>
      <c r="FDZ154" s="14"/>
      <c r="FEA154" s="14"/>
      <c r="FEB154" s="14"/>
      <c r="FEC154" s="14"/>
      <c r="FED154" s="14"/>
      <c r="FEE154" s="14"/>
      <c r="FEF154" s="14"/>
      <c r="FEG154" s="14"/>
      <c r="FEH154" s="14"/>
      <c r="FEI154" s="14"/>
      <c r="FEJ154" s="14"/>
      <c r="FEK154" s="14"/>
      <c r="FEL154" s="14"/>
      <c r="FEM154" s="14"/>
      <c r="FEN154" s="14"/>
      <c r="FEO154" s="14"/>
      <c r="FEP154" s="14"/>
      <c r="FEQ154" s="14"/>
      <c r="FER154" s="14"/>
      <c r="FES154" s="14"/>
      <c r="FET154" s="14"/>
      <c r="FEU154" s="14"/>
      <c r="FEV154" s="14"/>
      <c r="FEW154" s="14"/>
      <c r="FEX154" s="14"/>
      <c r="FEY154" s="14"/>
      <c r="FEZ154" s="14"/>
      <c r="FFA154" s="14"/>
      <c r="FFB154" s="14"/>
      <c r="FFC154" s="14"/>
      <c r="FFD154" s="14"/>
      <c r="FFE154" s="14"/>
      <c r="FFF154" s="14"/>
      <c r="FFG154" s="14"/>
      <c r="FFH154" s="14"/>
      <c r="FFI154" s="14"/>
      <c r="FFJ154" s="14"/>
      <c r="FFK154" s="14"/>
      <c r="FFL154" s="14"/>
      <c r="FFM154" s="14"/>
      <c r="FFN154" s="14"/>
      <c r="FFO154" s="14"/>
      <c r="FFP154" s="14"/>
      <c r="FFQ154" s="14"/>
      <c r="FFR154" s="14"/>
      <c r="FFS154" s="14"/>
      <c r="FFT154" s="14"/>
      <c r="FFU154" s="14"/>
      <c r="FFV154" s="14"/>
      <c r="FFW154" s="14"/>
      <c r="FFX154" s="14"/>
      <c r="FFY154" s="14"/>
      <c r="FFZ154" s="14"/>
      <c r="FGA154" s="14"/>
      <c r="FGB154" s="14"/>
      <c r="FGC154" s="14"/>
      <c r="FGD154" s="14"/>
      <c r="FGE154" s="14"/>
      <c r="FGF154" s="14"/>
      <c r="FGG154" s="14"/>
      <c r="FGH154" s="14"/>
      <c r="FGI154" s="14"/>
      <c r="FGJ154" s="14"/>
      <c r="FGK154" s="14"/>
      <c r="FGL154" s="14"/>
      <c r="FGM154" s="14"/>
      <c r="FGN154" s="14"/>
      <c r="FGO154" s="14"/>
      <c r="FGP154" s="14"/>
      <c r="FGQ154" s="14"/>
      <c r="FGR154" s="14"/>
      <c r="FGS154" s="14"/>
      <c r="FGT154" s="14"/>
      <c r="FGU154" s="14"/>
      <c r="FGV154" s="14"/>
      <c r="FGW154" s="14"/>
      <c r="FGX154" s="14"/>
      <c r="FGY154" s="14"/>
      <c r="FGZ154" s="14"/>
      <c r="FHA154" s="14"/>
      <c r="FHB154" s="14"/>
      <c r="FHC154" s="14"/>
      <c r="FHD154" s="14"/>
      <c r="FHE154" s="14"/>
      <c r="FHF154" s="14"/>
      <c r="FHG154" s="14"/>
      <c r="FHH154" s="14"/>
      <c r="FHI154" s="14"/>
      <c r="FHJ154" s="14"/>
      <c r="FHK154" s="14"/>
      <c r="FHL154" s="14"/>
      <c r="FHM154" s="14"/>
      <c r="FHN154" s="14"/>
      <c r="FHO154" s="14"/>
      <c r="FHP154" s="14"/>
      <c r="FHQ154" s="14"/>
      <c r="FHR154" s="14"/>
      <c r="FHS154" s="14"/>
      <c r="FHT154" s="14"/>
      <c r="FHU154" s="14"/>
      <c r="FHV154" s="14"/>
      <c r="FHW154" s="14"/>
      <c r="FHX154" s="14"/>
      <c r="FHY154" s="14"/>
      <c r="FHZ154" s="14"/>
      <c r="FIA154" s="14"/>
      <c r="FIB154" s="14"/>
      <c r="FIC154" s="14"/>
      <c r="FID154" s="14"/>
      <c r="FIE154" s="14"/>
      <c r="FIF154" s="14"/>
      <c r="FIG154" s="14"/>
      <c r="FIH154" s="14"/>
      <c r="FII154" s="14"/>
      <c r="FIJ154" s="14"/>
      <c r="FIK154" s="14"/>
      <c r="FIL154" s="14"/>
      <c r="FIM154" s="14"/>
      <c r="FIN154" s="14"/>
      <c r="FIO154" s="14"/>
      <c r="FIP154" s="14"/>
      <c r="FIQ154" s="14"/>
      <c r="FIR154" s="14"/>
      <c r="FIS154" s="14"/>
      <c r="FIT154" s="14"/>
      <c r="FIU154" s="14"/>
      <c r="FIV154" s="14"/>
      <c r="FIW154" s="14"/>
      <c r="FIX154" s="14"/>
      <c r="FIY154" s="14"/>
      <c r="FIZ154" s="14"/>
      <c r="FJA154" s="14"/>
      <c r="FJB154" s="14"/>
      <c r="FJC154" s="14"/>
      <c r="FJD154" s="14"/>
      <c r="FJE154" s="14"/>
      <c r="FJF154" s="14"/>
      <c r="FJG154" s="14"/>
      <c r="FJH154" s="14"/>
      <c r="FJI154" s="14"/>
      <c r="FJJ154" s="14"/>
      <c r="FJK154" s="14"/>
      <c r="FJL154" s="14"/>
      <c r="FJM154" s="14"/>
      <c r="FJN154" s="14"/>
      <c r="FJO154" s="14"/>
      <c r="FJP154" s="14"/>
      <c r="FJQ154" s="14"/>
      <c r="FJR154" s="14"/>
      <c r="FJS154" s="14"/>
      <c r="FJT154" s="14"/>
      <c r="FJU154" s="14"/>
      <c r="FJV154" s="14"/>
      <c r="FJW154" s="14"/>
      <c r="FJX154" s="14"/>
      <c r="FJY154" s="14"/>
      <c r="FJZ154" s="14"/>
      <c r="FKA154" s="14"/>
      <c r="FKB154" s="14"/>
      <c r="FKC154" s="14"/>
      <c r="FKD154" s="14"/>
      <c r="FKE154" s="14"/>
      <c r="FKF154" s="14"/>
      <c r="FKG154" s="14"/>
      <c r="FKH154" s="14"/>
      <c r="FKI154" s="14"/>
      <c r="FKJ154" s="14"/>
      <c r="FKK154" s="14"/>
      <c r="FKL154" s="14"/>
      <c r="FKM154" s="14"/>
      <c r="FKN154" s="14"/>
      <c r="FKO154" s="14"/>
      <c r="FKP154" s="14"/>
      <c r="FKQ154" s="14"/>
      <c r="FKR154" s="14"/>
      <c r="FKS154" s="14"/>
      <c r="FKT154" s="14"/>
      <c r="FKU154" s="14"/>
      <c r="FKV154" s="14"/>
      <c r="FKW154" s="14"/>
      <c r="FKX154" s="14"/>
      <c r="FKY154" s="14"/>
      <c r="FKZ154" s="14"/>
      <c r="FLA154" s="14"/>
      <c r="FLB154" s="14"/>
      <c r="FLC154" s="14"/>
      <c r="FLD154" s="14"/>
      <c r="FLE154" s="14"/>
      <c r="FLF154" s="14"/>
      <c r="FLG154" s="14"/>
      <c r="FLH154" s="14"/>
      <c r="FLI154" s="14"/>
      <c r="FLJ154" s="14"/>
      <c r="FLK154" s="14"/>
      <c r="FLL154" s="14"/>
      <c r="FLM154" s="14"/>
      <c r="FLN154" s="14"/>
      <c r="FLO154" s="14"/>
      <c r="FLP154" s="14"/>
      <c r="FLQ154" s="14"/>
      <c r="FLR154" s="14"/>
      <c r="FLS154" s="14"/>
      <c r="FLT154" s="14"/>
      <c r="FLU154" s="14"/>
      <c r="FLV154" s="14"/>
      <c r="FLW154" s="14"/>
      <c r="FLX154" s="14"/>
      <c r="FLY154" s="14"/>
      <c r="FLZ154" s="14"/>
      <c r="FMA154" s="14"/>
      <c r="FMB154" s="14"/>
      <c r="FMC154" s="14"/>
      <c r="FMD154" s="14"/>
      <c r="FME154" s="14"/>
      <c r="FMF154" s="14"/>
      <c r="FMG154" s="14"/>
      <c r="FMH154" s="14"/>
      <c r="FMI154" s="14"/>
      <c r="FMJ154" s="14"/>
      <c r="FMK154" s="14"/>
      <c r="FML154" s="14"/>
      <c r="FMM154" s="14"/>
      <c r="FMN154" s="14"/>
      <c r="FMO154" s="14"/>
      <c r="FMP154" s="14"/>
      <c r="FMQ154" s="14"/>
      <c r="FMR154" s="14"/>
      <c r="FMS154" s="14"/>
      <c r="FMT154" s="14"/>
      <c r="FMU154" s="14"/>
      <c r="FMV154" s="14"/>
      <c r="FMW154" s="14"/>
      <c r="FMX154" s="14"/>
      <c r="FMY154" s="14"/>
      <c r="FMZ154" s="14"/>
      <c r="FNA154" s="14"/>
      <c r="FNB154" s="14"/>
      <c r="FNC154" s="14"/>
      <c r="FND154" s="14"/>
      <c r="FNE154" s="14"/>
      <c r="FNF154" s="14"/>
      <c r="FNG154" s="14"/>
      <c r="FNH154" s="14"/>
      <c r="FNI154" s="14"/>
      <c r="FNJ154" s="14"/>
      <c r="FNK154" s="14"/>
      <c r="FNL154" s="14"/>
      <c r="FNM154" s="14"/>
      <c r="FNN154" s="14"/>
      <c r="FNO154" s="14"/>
      <c r="FNP154" s="14"/>
      <c r="FNQ154" s="14"/>
      <c r="FNR154" s="14"/>
      <c r="FNS154" s="14"/>
      <c r="FNT154" s="14"/>
      <c r="FNU154" s="14"/>
      <c r="FNV154" s="14"/>
      <c r="FNW154" s="14"/>
      <c r="FNX154" s="14"/>
      <c r="FNY154" s="14"/>
      <c r="FNZ154" s="14"/>
      <c r="FOA154" s="14"/>
      <c r="FOB154" s="14"/>
      <c r="FOC154" s="14"/>
      <c r="FOD154" s="14"/>
      <c r="FOE154" s="14"/>
      <c r="FOF154" s="14"/>
      <c r="FOG154" s="14"/>
      <c r="FOH154" s="14"/>
      <c r="FOI154" s="14"/>
      <c r="FOJ154" s="14"/>
      <c r="FOK154" s="14"/>
      <c r="FOL154" s="14"/>
      <c r="FOM154" s="14"/>
      <c r="FON154" s="14"/>
      <c r="FOO154" s="14"/>
      <c r="FOP154" s="14"/>
      <c r="FOQ154" s="14"/>
      <c r="FOR154" s="14"/>
      <c r="FOS154" s="14"/>
      <c r="FOT154" s="14"/>
      <c r="FOU154" s="14"/>
      <c r="FOV154" s="14"/>
      <c r="FOW154" s="14"/>
      <c r="FOX154" s="14"/>
      <c r="FOY154" s="14"/>
      <c r="FOZ154" s="14"/>
      <c r="FPA154" s="14"/>
      <c r="FPB154" s="14"/>
      <c r="FPC154" s="14"/>
      <c r="FPD154" s="14"/>
      <c r="FPE154" s="14"/>
      <c r="FPF154" s="14"/>
      <c r="FPG154" s="14"/>
      <c r="FPH154" s="14"/>
      <c r="FPI154" s="14"/>
      <c r="FPJ154" s="14"/>
      <c r="FPK154" s="14"/>
      <c r="FPL154" s="14"/>
      <c r="FPM154" s="14"/>
      <c r="FPN154" s="14"/>
      <c r="FPO154" s="14"/>
      <c r="FPP154" s="14"/>
      <c r="FPQ154" s="14"/>
      <c r="FPR154" s="14"/>
      <c r="FPS154" s="14"/>
      <c r="FPT154" s="14"/>
      <c r="FPU154" s="14"/>
      <c r="FPV154" s="14"/>
      <c r="FPW154" s="14"/>
      <c r="FPX154" s="14"/>
      <c r="FPY154" s="14"/>
      <c r="FPZ154" s="14"/>
      <c r="FQA154" s="14"/>
      <c r="FQB154" s="14"/>
      <c r="FQC154" s="14"/>
      <c r="FQD154" s="14"/>
      <c r="FQE154" s="14"/>
      <c r="FQF154" s="14"/>
      <c r="FQG154" s="14"/>
      <c r="FQH154" s="14"/>
      <c r="FQI154" s="14"/>
      <c r="FQJ154" s="14"/>
      <c r="FQK154" s="14"/>
      <c r="FQL154" s="14"/>
      <c r="FQM154" s="14"/>
      <c r="FQN154" s="14"/>
      <c r="FQO154" s="14"/>
      <c r="FQP154" s="14"/>
      <c r="FQQ154" s="14"/>
      <c r="FQR154" s="14"/>
      <c r="FQS154" s="14"/>
      <c r="FQT154" s="14"/>
      <c r="FQU154" s="14"/>
      <c r="FQV154" s="14"/>
      <c r="FQW154" s="14"/>
      <c r="FQX154" s="14"/>
      <c r="FQY154" s="14"/>
      <c r="FQZ154" s="14"/>
      <c r="FRA154" s="14"/>
      <c r="FRB154" s="14"/>
      <c r="FRC154" s="14"/>
      <c r="FRD154" s="14"/>
      <c r="FRE154" s="14"/>
      <c r="FRF154" s="14"/>
      <c r="FRG154" s="14"/>
      <c r="FRH154" s="14"/>
      <c r="FRI154" s="14"/>
      <c r="FRJ154" s="14"/>
      <c r="FRK154" s="14"/>
      <c r="FRL154" s="14"/>
      <c r="FRM154" s="14"/>
      <c r="FRN154" s="14"/>
      <c r="FRO154" s="14"/>
      <c r="FRP154" s="14"/>
      <c r="FRQ154" s="14"/>
      <c r="FRR154" s="14"/>
      <c r="FRS154" s="14"/>
      <c r="FRT154" s="14"/>
      <c r="FRU154" s="14"/>
      <c r="FRV154" s="14"/>
      <c r="FRW154" s="14"/>
      <c r="FRX154" s="14"/>
      <c r="FRY154" s="14"/>
      <c r="FRZ154" s="14"/>
      <c r="FSA154" s="14"/>
      <c r="FSB154" s="14"/>
      <c r="FSC154" s="14"/>
      <c r="FSD154" s="14"/>
      <c r="FSE154" s="14"/>
      <c r="FSF154" s="14"/>
      <c r="FSG154" s="14"/>
      <c r="FSH154" s="14"/>
      <c r="FSI154" s="14"/>
      <c r="FSJ154" s="14"/>
      <c r="FSK154" s="14"/>
      <c r="FSL154" s="14"/>
      <c r="FSM154" s="14"/>
      <c r="FSN154" s="14"/>
      <c r="FSO154" s="14"/>
      <c r="FSP154" s="14"/>
      <c r="FSQ154" s="14"/>
      <c r="FSR154" s="14"/>
      <c r="FSS154" s="14"/>
      <c r="FST154" s="14"/>
      <c r="FSU154" s="14"/>
      <c r="FSV154" s="14"/>
      <c r="FSW154" s="14"/>
      <c r="FSX154" s="14"/>
      <c r="FSY154" s="14"/>
      <c r="FSZ154" s="14"/>
      <c r="FTA154" s="14"/>
      <c r="FTB154" s="14"/>
      <c r="FTC154" s="14"/>
      <c r="FTD154" s="14"/>
      <c r="FTE154" s="14"/>
      <c r="FTF154" s="14"/>
      <c r="FTG154" s="14"/>
      <c r="FTH154" s="14"/>
      <c r="FTI154" s="14"/>
      <c r="FTJ154" s="14"/>
      <c r="FTK154" s="14"/>
      <c r="FTL154" s="14"/>
      <c r="FTM154" s="14"/>
      <c r="FTN154" s="14"/>
      <c r="FTO154" s="14"/>
      <c r="FTP154" s="14"/>
      <c r="FTQ154" s="14"/>
      <c r="FTR154" s="14"/>
      <c r="FTS154" s="14"/>
      <c r="FTT154" s="14"/>
      <c r="FTU154" s="14"/>
      <c r="FTV154" s="14"/>
      <c r="FTW154" s="14"/>
      <c r="FTX154" s="14"/>
      <c r="FTY154" s="14"/>
      <c r="FTZ154" s="14"/>
      <c r="FUA154" s="14"/>
      <c r="FUB154" s="14"/>
      <c r="FUC154" s="14"/>
      <c r="FUD154" s="14"/>
      <c r="FUE154" s="14"/>
      <c r="FUF154" s="14"/>
      <c r="FUG154" s="14"/>
      <c r="FUH154" s="14"/>
      <c r="FUI154" s="14"/>
      <c r="FUJ154" s="14"/>
      <c r="FUK154" s="14"/>
      <c r="FUL154" s="14"/>
      <c r="FUM154" s="14"/>
      <c r="FUN154" s="14"/>
      <c r="FUO154" s="14"/>
      <c r="FUP154" s="14"/>
      <c r="FUQ154" s="14"/>
      <c r="FUR154" s="14"/>
      <c r="FUS154" s="14"/>
      <c r="FUT154" s="14"/>
      <c r="FUU154" s="14"/>
      <c r="FUV154" s="14"/>
      <c r="FUW154" s="14"/>
      <c r="FUX154" s="14"/>
      <c r="FUY154" s="14"/>
      <c r="FUZ154" s="14"/>
      <c r="FVA154" s="14"/>
      <c r="FVB154" s="14"/>
      <c r="FVC154" s="14"/>
      <c r="FVD154" s="14"/>
      <c r="FVE154" s="14"/>
      <c r="FVF154" s="14"/>
      <c r="FVG154" s="14"/>
      <c r="FVH154" s="14"/>
      <c r="FVI154" s="14"/>
      <c r="FVJ154" s="14"/>
      <c r="FVK154" s="14"/>
      <c r="FVL154" s="14"/>
      <c r="FVM154" s="14"/>
      <c r="FVN154" s="14"/>
      <c r="FVO154" s="14"/>
      <c r="FVP154" s="14"/>
      <c r="FVQ154" s="14"/>
      <c r="FVR154" s="14"/>
      <c r="FVS154" s="14"/>
      <c r="FVT154" s="14"/>
      <c r="FVU154" s="14"/>
      <c r="FVV154" s="14"/>
      <c r="FVW154" s="14"/>
      <c r="FVX154" s="14"/>
      <c r="FVY154" s="14"/>
      <c r="FVZ154" s="14"/>
      <c r="FWA154" s="14"/>
      <c r="FWB154" s="14"/>
      <c r="FWC154" s="14"/>
      <c r="FWD154" s="14"/>
      <c r="FWE154" s="14"/>
      <c r="FWF154" s="14"/>
      <c r="FWG154" s="14"/>
      <c r="FWH154" s="14"/>
      <c r="FWI154" s="14"/>
      <c r="FWJ154" s="14"/>
      <c r="FWK154" s="14"/>
      <c r="FWL154" s="14"/>
      <c r="FWM154" s="14"/>
      <c r="FWN154" s="14"/>
      <c r="FWO154" s="14"/>
      <c r="FWP154" s="14"/>
      <c r="FWQ154" s="14"/>
      <c r="FWR154" s="14"/>
      <c r="FWS154" s="14"/>
      <c r="FWT154" s="14"/>
      <c r="FWU154" s="14"/>
      <c r="FWV154" s="14"/>
      <c r="FWW154" s="14"/>
      <c r="FWX154" s="14"/>
      <c r="FWY154" s="14"/>
      <c r="FWZ154" s="14"/>
      <c r="FXA154" s="14"/>
      <c r="FXB154" s="14"/>
      <c r="FXC154" s="14"/>
      <c r="FXD154" s="14"/>
      <c r="FXE154" s="14"/>
      <c r="FXF154" s="14"/>
      <c r="FXG154" s="14"/>
      <c r="FXH154" s="14"/>
      <c r="FXI154" s="14"/>
      <c r="FXJ154" s="14"/>
      <c r="FXK154" s="14"/>
      <c r="FXL154" s="14"/>
      <c r="FXM154" s="14"/>
      <c r="FXN154" s="14"/>
      <c r="FXO154" s="14"/>
      <c r="FXP154" s="14"/>
      <c r="FXQ154" s="14"/>
      <c r="FXR154" s="14"/>
      <c r="FXS154" s="14"/>
      <c r="FXT154" s="14"/>
      <c r="FXU154" s="14"/>
      <c r="FXV154" s="14"/>
      <c r="FXW154" s="14"/>
      <c r="FXX154" s="14"/>
      <c r="FXY154" s="14"/>
      <c r="FXZ154" s="14"/>
      <c r="FYA154" s="14"/>
      <c r="FYB154" s="14"/>
      <c r="FYC154" s="14"/>
      <c r="FYD154" s="14"/>
      <c r="FYE154" s="14"/>
      <c r="FYF154" s="14"/>
      <c r="FYG154" s="14"/>
      <c r="FYH154" s="14"/>
      <c r="FYI154" s="14"/>
      <c r="FYJ154" s="14"/>
      <c r="FYK154" s="14"/>
      <c r="FYL154" s="14"/>
      <c r="FYM154" s="14"/>
      <c r="FYN154" s="14"/>
      <c r="FYO154" s="14"/>
      <c r="FYP154" s="14"/>
      <c r="FYQ154" s="14"/>
      <c r="FYR154" s="14"/>
      <c r="FYS154" s="14"/>
      <c r="FYT154" s="14"/>
      <c r="FYU154" s="14"/>
      <c r="FYV154" s="14"/>
      <c r="FYW154" s="14"/>
      <c r="FYX154" s="14"/>
      <c r="FYY154" s="14"/>
      <c r="FYZ154" s="14"/>
      <c r="FZA154" s="14"/>
      <c r="FZB154" s="14"/>
      <c r="FZC154" s="14"/>
      <c r="FZD154" s="14"/>
      <c r="FZE154" s="14"/>
      <c r="FZF154" s="14"/>
      <c r="FZG154" s="14"/>
      <c r="FZH154" s="14"/>
      <c r="FZI154" s="14"/>
      <c r="FZJ154" s="14"/>
      <c r="FZK154" s="14"/>
      <c r="FZL154" s="14"/>
      <c r="FZM154" s="14"/>
      <c r="FZN154" s="14"/>
      <c r="FZO154" s="14"/>
      <c r="FZP154" s="14"/>
      <c r="FZQ154" s="14"/>
      <c r="FZR154" s="14"/>
      <c r="FZS154" s="14"/>
      <c r="FZT154" s="14"/>
      <c r="FZU154" s="14"/>
      <c r="FZV154" s="14"/>
      <c r="FZW154" s="14"/>
      <c r="FZX154" s="14"/>
      <c r="FZY154" s="14"/>
      <c r="FZZ154" s="14"/>
      <c r="GAA154" s="14"/>
      <c r="GAB154" s="14"/>
      <c r="GAC154" s="14"/>
      <c r="GAD154" s="14"/>
      <c r="GAE154" s="14"/>
      <c r="GAF154" s="14"/>
      <c r="GAG154" s="14"/>
      <c r="GAH154" s="14"/>
      <c r="GAI154" s="14"/>
      <c r="GAJ154" s="14"/>
      <c r="GAK154" s="14"/>
      <c r="GAL154" s="14"/>
      <c r="GAM154" s="14"/>
      <c r="GAN154" s="14"/>
      <c r="GAO154" s="14"/>
      <c r="GAP154" s="14"/>
      <c r="GAQ154" s="14"/>
      <c r="GAR154" s="14"/>
      <c r="GAS154" s="14"/>
      <c r="GAT154" s="14"/>
      <c r="GAU154" s="14"/>
      <c r="GAV154" s="14"/>
      <c r="GAW154" s="14"/>
      <c r="GAX154" s="14"/>
      <c r="GAY154" s="14"/>
      <c r="GAZ154" s="14"/>
      <c r="GBA154" s="14"/>
      <c r="GBB154" s="14"/>
      <c r="GBC154" s="14"/>
      <c r="GBD154" s="14"/>
      <c r="GBE154" s="14"/>
      <c r="GBF154" s="14"/>
      <c r="GBG154" s="14"/>
      <c r="GBH154" s="14"/>
      <c r="GBI154" s="14"/>
      <c r="GBJ154" s="14"/>
      <c r="GBK154" s="14"/>
      <c r="GBL154" s="14"/>
      <c r="GBM154" s="14"/>
      <c r="GBN154" s="14"/>
      <c r="GBO154" s="14"/>
      <c r="GBP154" s="14"/>
      <c r="GBQ154" s="14"/>
      <c r="GBR154" s="14"/>
      <c r="GBS154" s="14"/>
      <c r="GBT154" s="14"/>
      <c r="GBU154" s="14"/>
      <c r="GBV154" s="14"/>
      <c r="GBW154" s="14"/>
      <c r="GBX154" s="14"/>
      <c r="GBY154" s="14"/>
      <c r="GBZ154" s="14"/>
      <c r="GCA154" s="14"/>
      <c r="GCB154" s="14"/>
      <c r="GCC154" s="14"/>
      <c r="GCD154" s="14"/>
      <c r="GCE154" s="14"/>
      <c r="GCF154" s="14"/>
      <c r="GCG154" s="14"/>
      <c r="GCH154" s="14"/>
      <c r="GCI154" s="14"/>
      <c r="GCJ154" s="14"/>
      <c r="GCK154" s="14"/>
      <c r="GCL154" s="14"/>
      <c r="GCM154" s="14"/>
      <c r="GCN154" s="14"/>
      <c r="GCO154" s="14"/>
      <c r="GCP154" s="14"/>
      <c r="GCQ154" s="14"/>
      <c r="GCR154" s="14"/>
      <c r="GCS154" s="14"/>
      <c r="GCT154" s="14"/>
      <c r="GCU154" s="14"/>
      <c r="GCV154" s="14"/>
      <c r="GCW154" s="14"/>
      <c r="GCX154" s="14"/>
      <c r="GCY154" s="14"/>
      <c r="GCZ154" s="14"/>
      <c r="GDA154" s="14"/>
      <c r="GDB154" s="14"/>
      <c r="GDC154" s="14"/>
      <c r="GDD154" s="14"/>
      <c r="GDE154" s="14"/>
      <c r="GDF154" s="14"/>
      <c r="GDG154" s="14"/>
      <c r="GDH154" s="14"/>
      <c r="GDI154" s="14"/>
      <c r="GDJ154" s="14"/>
      <c r="GDK154" s="14"/>
      <c r="GDL154" s="14"/>
      <c r="GDM154" s="14"/>
      <c r="GDN154" s="14"/>
      <c r="GDO154" s="14"/>
      <c r="GDP154" s="14"/>
      <c r="GDQ154" s="14"/>
      <c r="GDR154" s="14"/>
      <c r="GDS154" s="14"/>
      <c r="GDT154" s="14"/>
      <c r="GDU154" s="14"/>
      <c r="GDV154" s="14"/>
      <c r="GDW154" s="14"/>
      <c r="GDX154" s="14"/>
      <c r="GDY154" s="14"/>
      <c r="GDZ154" s="14"/>
      <c r="GEA154" s="14"/>
      <c r="GEB154" s="14"/>
      <c r="GEC154" s="14"/>
      <c r="GED154" s="14"/>
      <c r="GEE154" s="14"/>
      <c r="GEF154" s="14"/>
      <c r="GEG154" s="14"/>
      <c r="GEH154" s="14"/>
      <c r="GEI154" s="14"/>
      <c r="GEJ154" s="14"/>
      <c r="GEK154" s="14"/>
      <c r="GEL154" s="14"/>
      <c r="GEM154" s="14"/>
      <c r="GEN154" s="14"/>
      <c r="GEO154" s="14"/>
      <c r="GEP154" s="14"/>
      <c r="GEQ154" s="14"/>
      <c r="GER154" s="14"/>
      <c r="GES154" s="14"/>
      <c r="GET154" s="14"/>
      <c r="GEU154" s="14"/>
      <c r="GEV154" s="14"/>
      <c r="GEW154" s="14"/>
      <c r="GEX154" s="14"/>
      <c r="GEY154" s="14"/>
      <c r="GEZ154" s="14"/>
      <c r="GFA154" s="14"/>
      <c r="GFB154" s="14"/>
      <c r="GFC154" s="14"/>
      <c r="GFD154" s="14"/>
      <c r="GFE154" s="14"/>
      <c r="GFF154" s="14"/>
      <c r="GFG154" s="14"/>
      <c r="GFH154" s="14"/>
      <c r="GFI154" s="14"/>
      <c r="GFJ154" s="14"/>
      <c r="GFK154" s="14"/>
      <c r="GFL154" s="14"/>
      <c r="GFM154" s="14"/>
      <c r="GFN154" s="14"/>
      <c r="GFO154" s="14"/>
      <c r="GFP154" s="14"/>
      <c r="GFQ154" s="14"/>
      <c r="GFR154" s="14"/>
      <c r="GFS154" s="14"/>
      <c r="GFT154" s="14"/>
      <c r="GFU154" s="14"/>
      <c r="GFV154" s="14"/>
      <c r="GFW154" s="14"/>
      <c r="GFX154" s="14"/>
      <c r="GFY154" s="14"/>
      <c r="GFZ154" s="14"/>
      <c r="GGA154" s="14"/>
      <c r="GGB154" s="14"/>
      <c r="GGC154" s="14"/>
      <c r="GGD154" s="14"/>
      <c r="GGE154" s="14"/>
      <c r="GGF154" s="14"/>
      <c r="GGG154" s="14"/>
      <c r="GGH154" s="14"/>
      <c r="GGI154" s="14"/>
      <c r="GGJ154" s="14"/>
      <c r="GGK154" s="14"/>
      <c r="GGL154" s="14"/>
      <c r="GGM154" s="14"/>
      <c r="GGN154" s="14"/>
      <c r="GGO154" s="14"/>
      <c r="GGP154" s="14"/>
      <c r="GGQ154" s="14"/>
      <c r="GGR154" s="14"/>
      <c r="GGS154" s="14"/>
      <c r="GGT154" s="14"/>
      <c r="GGU154" s="14"/>
      <c r="GGV154" s="14"/>
      <c r="GGW154" s="14"/>
      <c r="GGX154" s="14"/>
      <c r="GGY154" s="14"/>
      <c r="GGZ154" s="14"/>
      <c r="GHA154" s="14"/>
      <c r="GHB154" s="14"/>
      <c r="GHC154" s="14"/>
      <c r="GHD154" s="14"/>
      <c r="GHE154" s="14"/>
      <c r="GHF154" s="14"/>
      <c r="GHG154" s="14"/>
      <c r="GHH154" s="14"/>
      <c r="GHI154" s="14"/>
      <c r="GHJ154" s="14"/>
      <c r="GHK154" s="14"/>
      <c r="GHL154" s="14"/>
      <c r="GHM154" s="14"/>
      <c r="GHN154" s="14"/>
      <c r="GHO154" s="14"/>
      <c r="GHP154" s="14"/>
      <c r="GHQ154" s="14"/>
      <c r="GHR154" s="14"/>
      <c r="GHS154" s="14"/>
      <c r="GHT154" s="14"/>
      <c r="GHU154" s="14"/>
      <c r="GHV154" s="14"/>
      <c r="GHW154" s="14"/>
      <c r="GHX154" s="14"/>
      <c r="GHY154" s="14"/>
      <c r="GHZ154" s="14"/>
      <c r="GIA154" s="14"/>
      <c r="GIB154" s="14"/>
      <c r="GIC154" s="14"/>
      <c r="GID154" s="14"/>
      <c r="GIE154" s="14"/>
      <c r="GIF154" s="14"/>
      <c r="GIG154" s="14"/>
      <c r="GIH154" s="14"/>
      <c r="GII154" s="14"/>
      <c r="GIJ154" s="14"/>
      <c r="GIK154" s="14"/>
      <c r="GIL154" s="14"/>
      <c r="GIM154" s="14"/>
      <c r="GIN154" s="14"/>
      <c r="GIO154" s="14"/>
      <c r="GIP154" s="14"/>
      <c r="GIQ154" s="14"/>
      <c r="GIR154" s="14"/>
      <c r="GIS154" s="14"/>
      <c r="GIT154" s="14"/>
      <c r="GIU154" s="14"/>
      <c r="GIV154" s="14"/>
      <c r="GIW154" s="14"/>
      <c r="GIX154" s="14"/>
      <c r="GIY154" s="14"/>
      <c r="GIZ154" s="14"/>
      <c r="GJA154" s="14"/>
      <c r="GJB154" s="14"/>
      <c r="GJC154" s="14"/>
      <c r="GJD154" s="14"/>
      <c r="GJE154" s="14"/>
      <c r="GJF154" s="14"/>
      <c r="GJG154" s="14"/>
      <c r="GJH154" s="14"/>
      <c r="GJI154" s="14"/>
      <c r="GJJ154" s="14"/>
      <c r="GJK154" s="14"/>
      <c r="GJL154" s="14"/>
      <c r="GJM154" s="14"/>
      <c r="GJN154" s="14"/>
      <c r="GJO154" s="14"/>
      <c r="GJP154" s="14"/>
      <c r="GJQ154" s="14"/>
      <c r="GJR154" s="14"/>
      <c r="GJS154" s="14"/>
      <c r="GJT154" s="14"/>
      <c r="GJU154" s="14"/>
      <c r="GJV154" s="14"/>
      <c r="GJW154" s="14"/>
      <c r="GJX154" s="14"/>
      <c r="GJY154" s="14"/>
      <c r="GJZ154" s="14"/>
      <c r="GKA154" s="14"/>
      <c r="GKB154" s="14"/>
      <c r="GKC154" s="14"/>
      <c r="GKD154" s="14"/>
      <c r="GKE154" s="14"/>
      <c r="GKF154" s="14"/>
      <c r="GKG154" s="14"/>
      <c r="GKH154" s="14"/>
      <c r="GKI154" s="14"/>
      <c r="GKJ154" s="14"/>
      <c r="GKK154" s="14"/>
      <c r="GKL154" s="14"/>
      <c r="GKM154" s="14"/>
      <c r="GKN154" s="14"/>
      <c r="GKO154" s="14"/>
      <c r="GKP154" s="14"/>
      <c r="GKQ154" s="14"/>
      <c r="GKR154" s="14"/>
      <c r="GKS154" s="14"/>
      <c r="GKT154" s="14"/>
      <c r="GKU154" s="14"/>
      <c r="GKV154" s="14"/>
      <c r="GKW154" s="14"/>
      <c r="GKX154" s="14"/>
      <c r="GKY154" s="14"/>
      <c r="GKZ154" s="14"/>
      <c r="GLA154" s="14"/>
      <c r="GLB154" s="14"/>
      <c r="GLC154" s="14"/>
      <c r="GLD154" s="14"/>
      <c r="GLE154" s="14"/>
      <c r="GLF154" s="14"/>
      <c r="GLG154" s="14"/>
      <c r="GLH154" s="14"/>
      <c r="GLI154" s="14"/>
      <c r="GLJ154" s="14"/>
      <c r="GLK154" s="14"/>
      <c r="GLL154" s="14"/>
      <c r="GLM154" s="14"/>
      <c r="GLN154" s="14"/>
      <c r="GLO154" s="14"/>
      <c r="GLP154" s="14"/>
      <c r="GLQ154" s="14"/>
      <c r="GLR154" s="14"/>
      <c r="GLS154" s="14"/>
      <c r="GLT154" s="14"/>
      <c r="GLU154" s="14"/>
      <c r="GLV154" s="14"/>
      <c r="GLW154" s="14"/>
      <c r="GLX154" s="14"/>
      <c r="GLY154" s="14"/>
      <c r="GLZ154" s="14"/>
      <c r="GMA154" s="14"/>
      <c r="GMB154" s="14"/>
      <c r="GMC154" s="14"/>
      <c r="GMD154" s="14"/>
      <c r="GME154" s="14"/>
      <c r="GMF154" s="14"/>
      <c r="GMG154" s="14"/>
      <c r="GMH154" s="14"/>
      <c r="GMI154" s="14"/>
      <c r="GMJ154" s="14"/>
      <c r="GMK154" s="14"/>
      <c r="GML154" s="14"/>
      <c r="GMM154" s="14"/>
      <c r="GMN154" s="14"/>
      <c r="GMO154" s="14"/>
      <c r="GMP154" s="14"/>
      <c r="GMQ154" s="14"/>
      <c r="GMR154" s="14"/>
      <c r="GMS154" s="14"/>
      <c r="GMT154" s="14"/>
      <c r="GMU154" s="14"/>
      <c r="GMV154" s="14"/>
      <c r="GMW154" s="14"/>
      <c r="GMX154" s="14"/>
      <c r="GMY154" s="14"/>
      <c r="GMZ154" s="14"/>
      <c r="GNA154" s="14"/>
      <c r="GNB154" s="14"/>
      <c r="GNC154" s="14"/>
      <c r="GND154" s="14"/>
      <c r="GNE154" s="14"/>
      <c r="GNF154" s="14"/>
      <c r="GNG154" s="14"/>
      <c r="GNH154" s="14"/>
      <c r="GNI154" s="14"/>
      <c r="GNJ154" s="14"/>
      <c r="GNK154" s="14"/>
      <c r="GNL154" s="14"/>
      <c r="GNM154" s="14"/>
      <c r="GNN154" s="14"/>
      <c r="GNO154" s="14"/>
      <c r="GNP154" s="14"/>
      <c r="GNQ154" s="14"/>
      <c r="GNR154" s="14"/>
      <c r="GNS154" s="14"/>
      <c r="GNT154" s="14"/>
      <c r="GNU154" s="14"/>
      <c r="GNV154" s="14"/>
      <c r="GNW154" s="14"/>
      <c r="GNX154" s="14"/>
      <c r="GNY154" s="14"/>
      <c r="GNZ154" s="14"/>
      <c r="GOA154" s="14"/>
      <c r="GOB154" s="14"/>
      <c r="GOC154" s="14"/>
      <c r="GOD154" s="14"/>
      <c r="GOE154" s="14"/>
      <c r="GOF154" s="14"/>
      <c r="GOG154" s="14"/>
      <c r="GOH154" s="14"/>
      <c r="GOI154" s="14"/>
      <c r="GOJ154" s="14"/>
      <c r="GOK154" s="14"/>
      <c r="GOL154" s="14"/>
      <c r="GOM154" s="14"/>
      <c r="GON154" s="14"/>
      <c r="GOO154" s="14"/>
      <c r="GOP154" s="14"/>
      <c r="GOQ154" s="14"/>
      <c r="GOR154" s="14"/>
      <c r="GOS154" s="14"/>
      <c r="GOT154" s="14"/>
      <c r="GOU154" s="14"/>
      <c r="GOV154" s="14"/>
      <c r="GOW154" s="14"/>
      <c r="GOX154" s="14"/>
      <c r="GOY154" s="14"/>
      <c r="GOZ154" s="14"/>
      <c r="GPA154" s="14"/>
      <c r="GPB154" s="14"/>
      <c r="GPC154" s="14"/>
      <c r="GPD154" s="14"/>
      <c r="GPE154" s="14"/>
      <c r="GPF154" s="14"/>
      <c r="GPG154" s="14"/>
      <c r="GPH154" s="14"/>
      <c r="GPI154" s="14"/>
      <c r="GPJ154" s="14"/>
      <c r="GPK154" s="14"/>
      <c r="GPL154" s="14"/>
      <c r="GPM154" s="14"/>
      <c r="GPN154" s="14"/>
      <c r="GPO154" s="14"/>
      <c r="GPP154" s="14"/>
      <c r="GPQ154" s="14"/>
      <c r="GPR154" s="14"/>
      <c r="GPS154" s="14"/>
      <c r="GPT154" s="14"/>
      <c r="GPU154" s="14"/>
      <c r="GPV154" s="14"/>
      <c r="GPW154" s="14"/>
      <c r="GPX154" s="14"/>
      <c r="GPY154" s="14"/>
      <c r="GPZ154" s="14"/>
      <c r="GQA154" s="14"/>
      <c r="GQB154" s="14"/>
      <c r="GQC154" s="14"/>
      <c r="GQD154" s="14"/>
      <c r="GQE154" s="14"/>
      <c r="GQF154" s="14"/>
      <c r="GQG154" s="14"/>
      <c r="GQH154" s="14"/>
      <c r="GQI154" s="14"/>
      <c r="GQJ154" s="14"/>
      <c r="GQK154" s="14"/>
      <c r="GQL154" s="14"/>
      <c r="GQM154" s="14"/>
      <c r="GQN154" s="14"/>
      <c r="GQO154" s="14"/>
      <c r="GQP154" s="14"/>
      <c r="GQQ154" s="14"/>
      <c r="GQR154" s="14"/>
      <c r="GQS154" s="14"/>
      <c r="GQT154" s="14"/>
      <c r="GQU154" s="14"/>
      <c r="GQV154" s="14"/>
      <c r="GQW154" s="14"/>
      <c r="GQX154" s="14"/>
      <c r="GQY154" s="14"/>
      <c r="GQZ154" s="14"/>
      <c r="GRA154" s="14"/>
      <c r="GRB154" s="14"/>
      <c r="GRC154" s="14"/>
      <c r="GRD154" s="14"/>
      <c r="GRE154" s="14"/>
      <c r="GRF154" s="14"/>
      <c r="GRG154" s="14"/>
      <c r="GRH154" s="14"/>
      <c r="GRI154" s="14"/>
      <c r="GRJ154" s="14"/>
      <c r="GRK154" s="14"/>
      <c r="GRL154" s="14"/>
      <c r="GRM154" s="14"/>
      <c r="GRN154" s="14"/>
      <c r="GRO154" s="14"/>
      <c r="GRP154" s="14"/>
      <c r="GRQ154" s="14"/>
      <c r="GRR154" s="14"/>
      <c r="GRS154" s="14"/>
      <c r="GRT154" s="14"/>
      <c r="GRU154" s="14"/>
      <c r="GRV154" s="14"/>
      <c r="GRW154" s="14"/>
      <c r="GRX154" s="14"/>
      <c r="GRY154" s="14"/>
      <c r="GRZ154" s="14"/>
      <c r="GSA154" s="14"/>
      <c r="GSB154" s="14"/>
      <c r="GSC154" s="14"/>
      <c r="GSD154" s="14"/>
      <c r="GSE154" s="14"/>
      <c r="GSF154" s="14"/>
      <c r="GSG154" s="14"/>
      <c r="GSH154" s="14"/>
      <c r="GSI154" s="14"/>
      <c r="GSJ154" s="14"/>
      <c r="GSK154" s="14"/>
      <c r="GSL154" s="14"/>
      <c r="GSM154" s="14"/>
      <c r="GSN154" s="14"/>
      <c r="GSO154" s="14"/>
      <c r="GSP154" s="14"/>
      <c r="GSQ154" s="14"/>
      <c r="GSR154" s="14"/>
      <c r="GSS154" s="14"/>
      <c r="GST154" s="14"/>
      <c r="GSU154" s="14"/>
      <c r="GSV154" s="14"/>
      <c r="GSW154" s="14"/>
      <c r="GSX154" s="14"/>
      <c r="GSY154" s="14"/>
      <c r="GSZ154" s="14"/>
      <c r="GTA154" s="14"/>
      <c r="GTB154" s="14"/>
      <c r="GTC154" s="14"/>
      <c r="GTD154" s="14"/>
      <c r="GTE154" s="14"/>
      <c r="GTF154" s="14"/>
      <c r="GTG154" s="14"/>
      <c r="GTH154" s="14"/>
      <c r="GTI154" s="14"/>
      <c r="GTJ154" s="14"/>
      <c r="GTK154" s="14"/>
      <c r="GTL154" s="14"/>
      <c r="GTM154" s="14"/>
      <c r="GTN154" s="14"/>
      <c r="GTO154" s="14"/>
      <c r="GTP154" s="14"/>
      <c r="GTQ154" s="14"/>
      <c r="GTR154" s="14"/>
      <c r="GTS154" s="14"/>
      <c r="GTT154" s="14"/>
      <c r="GTU154" s="14"/>
      <c r="GTV154" s="14"/>
      <c r="GTW154" s="14"/>
      <c r="GTX154" s="14"/>
      <c r="GTY154" s="14"/>
      <c r="GTZ154" s="14"/>
      <c r="GUA154" s="14"/>
      <c r="GUB154" s="14"/>
      <c r="GUC154" s="14"/>
      <c r="GUD154" s="14"/>
      <c r="GUE154" s="14"/>
      <c r="GUF154" s="14"/>
      <c r="GUG154" s="14"/>
      <c r="GUH154" s="14"/>
      <c r="GUI154" s="14"/>
      <c r="GUJ154" s="14"/>
      <c r="GUK154" s="14"/>
      <c r="GUL154" s="14"/>
      <c r="GUM154" s="14"/>
      <c r="GUN154" s="14"/>
      <c r="GUO154" s="14"/>
      <c r="GUP154" s="14"/>
      <c r="GUQ154" s="14"/>
      <c r="GUR154" s="14"/>
      <c r="GUS154" s="14"/>
      <c r="GUT154" s="14"/>
      <c r="GUU154" s="14"/>
      <c r="GUV154" s="14"/>
      <c r="GUW154" s="14"/>
      <c r="GUX154" s="14"/>
      <c r="GUY154" s="14"/>
      <c r="GUZ154" s="14"/>
      <c r="GVA154" s="14"/>
      <c r="GVB154" s="14"/>
      <c r="GVC154" s="14"/>
      <c r="GVD154" s="14"/>
      <c r="GVE154" s="14"/>
      <c r="GVF154" s="14"/>
      <c r="GVG154" s="14"/>
      <c r="GVH154" s="14"/>
      <c r="GVI154" s="14"/>
      <c r="GVJ154" s="14"/>
      <c r="GVK154" s="14"/>
      <c r="GVL154" s="14"/>
      <c r="GVM154" s="14"/>
      <c r="GVN154" s="14"/>
      <c r="GVO154" s="14"/>
      <c r="GVP154" s="14"/>
      <c r="GVQ154" s="14"/>
      <c r="GVR154" s="14"/>
      <c r="GVS154" s="14"/>
      <c r="GVT154" s="14"/>
      <c r="GVU154" s="14"/>
      <c r="GVV154" s="14"/>
      <c r="GVW154" s="14"/>
      <c r="GVX154" s="14"/>
      <c r="GVY154" s="14"/>
      <c r="GVZ154" s="14"/>
      <c r="GWA154" s="14"/>
      <c r="GWB154" s="14"/>
      <c r="GWC154" s="14"/>
      <c r="GWD154" s="14"/>
      <c r="GWE154" s="14"/>
      <c r="GWF154" s="14"/>
      <c r="GWG154" s="14"/>
      <c r="GWH154" s="14"/>
      <c r="GWI154" s="14"/>
      <c r="GWJ154" s="14"/>
      <c r="GWK154" s="14"/>
      <c r="GWL154" s="14"/>
      <c r="GWM154" s="14"/>
      <c r="GWN154" s="14"/>
      <c r="GWO154" s="14"/>
      <c r="GWP154" s="14"/>
      <c r="GWQ154" s="14"/>
      <c r="GWR154" s="14"/>
      <c r="GWS154" s="14"/>
      <c r="GWT154" s="14"/>
      <c r="GWU154" s="14"/>
      <c r="GWV154" s="14"/>
      <c r="GWW154" s="14"/>
      <c r="GWX154" s="14"/>
      <c r="GWY154" s="14"/>
      <c r="GWZ154" s="14"/>
      <c r="GXA154" s="14"/>
      <c r="GXB154" s="14"/>
      <c r="GXC154" s="14"/>
      <c r="GXD154" s="14"/>
      <c r="GXE154" s="14"/>
      <c r="GXF154" s="14"/>
      <c r="GXG154" s="14"/>
      <c r="GXH154" s="14"/>
      <c r="GXI154" s="14"/>
      <c r="GXJ154" s="14"/>
      <c r="GXK154" s="14"/>
      <c r="GXL154" s="14"/>
      <c r="GXM154" s="14"/>
      <c r="GXN154" s="14"/>
      <c r="GXO154" s="14"/>
      <c r="GXP154" s="14"/>
      <c r="GXQ154" s="14"/>
      <c r="GXR154" s="14"/>
      <c r="GXS154" s="14"/>
      <c r="GXT154" s="14"/>
      <c r="GXU154" s="14"/>
      <c r="GXV154" s="14"/>
      <c r="GXW154" s="14"/>
      <c r="GXX154" s="14"/>
      <c r="GXY154" s="14"/>
      <c r="GXZ154" s="14"/>
      <c r="GYA154" s="14"/>
      <c r="GYB154" s="14"/>
      <c r="GYC154" s="14"/>
      <c r="GYD154" s="14"/>
      <c r="GYE154" s="14"/>
      <c r="GYF154" s="14"/>
      <c r="GYG154" s="14"/>
      <c r="GYH154" s="14"/>
      <c r="GYI154" s="14"/>
      <c r="GYJ154" s="14"/>
      <c r="GYK154" s="14"/>
      <c r="GYL154" s="14"/>
      <c r="GYM154" s="14"/>
      <c r="GYN154" s="14"/>
      <c r="GYO154" s="14"/>
      <c r="GYP154" s="14"/>
      <c r="GYQ154" s="14"/>
      <c r="GYR154" s="14"/>
      <c r="GYS154" s="14"/>
      <c r="GYT154" s="14"/>
      <c r="GYU154" s="14"/>
      <c r="GYV154" s="14"/>
      <c r="GYW154" s="14"/>
      <c r="GYX154" s="14"/>
      <c r="GYY154" s="14"/>
      <c r="GYZ154" s="14"/>
      <c r="GZA154" s="14"/>
      <c r="GZB154" s="14"/>
      <c r="GZC154" s="14"/>
      <c r="GZD154" s="14"/>
      <c r="GZE154" s="14"/>
      <c r="GZF154" s="14"/>
      <c r="GZG154" s="14"/>
      <c r="GZH154" s="14"/>
      <c r="GZI154" s="14"/>
      <c r="GZJ154" s="14"/>
      <c r="GZK154" s="14"/>
      <c r="GZL154" s="14"/>
      <c r="GZM154" s="14"/>
      <c r="GZN154" s="14"/>
      <c r="GZO154" s="14"/>
      <c r="GZP154" s="14"/>
      <c r="GZQ154" s="14"/>
      <c r="GZR154" s="14"/>
      <c r="GZS154" s="14"/>
      <c r="GZT154" s="14"/>
      <c r="GZU154" s="14"/>
      <c r="GZV154" s="14"/>
      <c r="GZW154" s="14"/>
      <c r="GZX154" s="14"/>
      <c r="GZY154" s="14"/>
      <c r="GZZ154" s="14"/>
      <c r="HAA154" s="14"/>
      <c r="HAB154" s="14"/>
      <c r="HAC154" s="14"/>
      <c r="HAD154" s="14"/>
      <c r="HAE154" s="14"/>
      <c r="HAF154" s="14"/>
      <c r="HAG154" s="14"/>
      <c r="HAH154" s="14"/>
      <c r="HAI154" s="14"/>
      <c r="HAJ154" s="14"/>
      <c r="HAK154" s="14"/>
      <c r="HAL154" s="14"/>
      <c r="HAM154" s="14"/>
      <c r="HAN154" s="14"/>
      <c r="HAO154" s="14"/>
      <c r="HAP154" s="14"/>
      <c r="HAQ154" s="14"/>
      <c r="HAR154" s="14"/>
      <c r="HAS154" s="14"/>
      <c r="HAT154" s="14"/>
      <c r="HAU154" s="14"/>
      <c r="HAV154" s="14"/>
      <c r="HAW154" s="14"/>
      <c r="HAX154" s="14"/>
      <c r="HAY154" s="14"/>
      <c r="HAZ154" s="14"/>
      <c r="HBA154" s="14"/>
      <c r="HBB154" s="14"/>
      <c r="HBC154" s="14"/>
      <c r="HBD154" s="14"/>
      <c r="HBE154" s="14"/>
      <c r="HBF154" s="14"/>
      <c r="HBG154" s="14"/>
      <c r="HBH154" s="14"/>
      <c r="HBI154" s="14"/>
      <c r="HBJ154" s="14"/>
      <c r="HBK154" s="14"/>
      <c r="HBL154" s="14"/>
      <c r="HBM154" s="14"/>
      <c r="HBN154" s="14"/>
      <c r="HBO154" s="14"/>
      <c r="HBP154" s="14"/>
      <c r="HBQ154" s="14"/>
      <c r="HBR154" s="14"/>
      <c r="HBS154" s="14"/>
      <c r="HBT154" s="14"/>
      <c r="HBU154" s="14"/>
      <c r="HBV154" s="14"/>
      <c r="HBW154" s="14"/>
      <c r="HBX154" s="14"/>
      <c r="HBY154" s="14"/>
      <c r="HBZ154" s="14"/>
      <c r="HCA154" s="14"/>
      <c r="HCB154" s="14"/>
      <c r="HCC154" s="14"/>
      <c r="HCD154" s="14"/>
      <c r="HCE154" s="14"/>
      <c r="HCF154" s="14"/>
      <c r="HCG154" s="14"/>
      <c r="HCH154" s="14"/>
      <c r="HCI154" s="14"/>
      <c r="HCJ154" s="14"/>
      <c r="HCK154" s="14"/>
      <c r="HCL154" s="14"/>
      <c r="HCM154" s="14"/>
      <c r="HCN154" s="14"/>
      <c r="HCO154" s="14"/>
      <c r="HCP154" s="14"/>
      <c r="HCQ154" s="14"/>
      <c r="HCR154" s="14"/>
      <c r="HCS154" s="14"/>
      <c r="HCT154" s="14"/>
      <c r="HCU154" s="14"/>
      <c r="HCV154" s="14"/>
      <c r="HCW154" s="14"/>
      <c r="HCX154" s="14"/>
      <c r="HCY154" s="14"/>
      <c r="HCZ154" s="14"/>
      <c r="HDA154" s="14"/>
      <c r="HDB154" s="14"/>
      <c r="HDC154" s="14"/>
      <c r="HDD154" s="14"/>
      <c r="HDE154" s="14"/>
      <c r="HDF154" s="14"/>
      <c r="HDG154" s="14"/>
      <c r="HDH154" s="14"/>
      <c r="HDI154" s="14"/>
      <c r="HDJ154" s="14"/>
      <c r="HDK154" s="14"/>
      <c r="HDL154" s="14"/>
      <c r="HDM154" s="14"/>
      <c r="HDN154" s="14"/>
      <c r="HDO154" s="14"/>
      <c r="HDP154" s="14"/>
      <c r="HDQ154" s="14"/>
      <c r="HDR154" s="14"/>
      <c r="HDS154" s="14"/>
      <c r="HDT154" s="14"/>
      <c r="HDU154" s="14"/>
      <c r="HDV154" s="14"/>
      <c r="HDW154" s="14"/>
      <c r="HDX154" s="14"/>
      <c r="HDY154" s="14"/>
      <c r="HDZ154" s="14"/>
      <c r="HEA154" s="14"/>
      <c r="HEB154" s="14"/>
      <c r="HEC154" s="14"/>
      <c r="HED154" s="14"/>
      <c r="HEE154" s="14"/>
      <c r="HEF154" s="14"/>
      <c r="HEG154" s="14"/>
      <c r="HEH154" s="14"/>
      <c r="HEI154" s="14"/>
      <c r="HEJ154" s="14"/>
      <c r="HEK154" s="14"/>
      <c r="HEL154" s="14"/>
      <c r="HEM154" s="14"/>
      <c r="HEN154" s="14"/>
      <c r="HEO154" s="14"/>
      <c r="HEP154" s="14"/>
      <c r="HEQ154" s="14"/>
      <c r="HER154" s="14"/>
      <c r="HES154" s="14"/>
      <c r="HET154" s="14"/>
      <c r="HEU154" s="14"/>
      <c r="HEV154" s="14"/>
      <c r="HEW154" s="14"/>
      <c r="HEX154" s="14"/>
      <c r="HEY154" s="14"/>
      <c r="HEZ154" s="14"/>
      <c r="HFA154" s="14"/>
      <c r="HFB154" s="14"/>
      <c r="HFC154" s="14"/>
      <c r="HFD154" s="14"/>
      <c r="HFE154" s="14"/>
      <c r="HFF154" s="14"/>
      <c r="HFG154" s="14"/>
      <c r="HFH154" s="14"/>
      <c r="HFI154" s="14"/>
      <c r="HFJ154" s="14"/>
      <c r="HFK154" s="14"/>
      <c r="HFL154" s="14"/>
      <c r="HFM154" s="14"/>
      <c r="HFN154" s="14"/>
      <c r="HFO154" s="14"/>
      <c r="HFP154" s="14"/>
      <c r="HFQ154" s="14"/>
      <c r="HFR154" s="14"/>
      <c r="HFS154" s="14"/>
      <c r="HFT154" s="14"/>
      <c r="HFU154" s="14"/>
      <c r="HFV154" s="14"/>
      <c r="HFW154" s="14"/>
      <c r="HFX154" s="14"/>
      <c r="HFY154" s="14"/>
      <c r="HFZ154" s="14"/>
      <c r="HGA154" s="14"/>
      <c r="HGB154" s="14"/>
      <c r="HGC154" s="14"/>
      <c r="HGD154" s="14"/>
      <c r="HGE154" s="14"/>
      <c r="HGF154" s="14"/>
      <c r="HGG154" s="14"/>
      <c r="HGH154" s="14"/>
      <c r="HGI154" s="14"/>
      <c r="HGJ154" s="14"/>
      <c r="HGK154" s="14"/>
      <c r="HGL154" s="14"/>
      <c r="HGM154" s="14"/>
      <c r="HGN154" s="14"/>
      <c r="HGO154" s="14"/>
      <c r="HGP154" s="14"/>
      <c r="HGQ154" s="14"/>
      <c r="HGR154" s="14"/>
      <c r="HGS154" s="14"/>
      <c r="HGT154" s="14"/>
      <c r="HGU154" s="14"/>
      <c r="HGV154" s="14"/>
      <c r="HGW154" s="14"/>
      <c r="HGX154" s="14"/>
      <c r="HGY154" s="14"/>
      <c r="HGZ154" s="14"/>
      <c r="HHA154" s="14"/>
      <c r="HHB154" s="14"/>
      <c r="HHC154" s="14"/>
      <c r="HHD154" s="14"/>
      <c r="HHE154" s="14"/>
      <c r="HHF154" s="14"/>
      <c r="HHG154" s="14"/>
      <c r="HHH154" s="14"/>
      <c r="HHI154" s="14"/>
      <c r="HHJ154" s="14"/>
      <c r="HHK154" s="14"/>
      <c r="HHL154" s="14"/>
      <c r="HHM154" s="14"/>
      <c r="HHN154" s="14"/>
      <c r="HHO154" s="14"/>
      <c r="HHP154" s="14"/>
      <c r="HHQ154" s="14"/>
      <c r="HHR154" s="14"/>
      <c r="HHS154" s="14"/>
      <c r="HHT154" s="14"/>
      <c r="HHU154" s="14"/>
      <c r="HHV154" s="14"/>
      <c r="HHW154" s="14"/>
      <c r="HHX154" s="14"/>
      <c r="HHY154" s="14"/>
      <c r="HHZ154" s="14"/>
      <c r="HIA154" s="14"/>
      <c r="HIB154" s="14"/>
      <c r="HIC154" s="14"/>
      <c r="HID154" s="14"/>
      <c r="HIE154" s="14"/>
      <c r="HIF154" s="14"/>
      <c r="HIG154" s="14"/>
      <c r="HIH154" s="14"/>
      <c r="HII154" s="14"/>
      <c r="HIJ154" s="14"/>
      <c r="HIK154" s="14"/>
      <c r="HIL154" s="14"/>
      <c r="HIM154" s="14"/>
      <c r="HIN154" s="14"/>
      <c r="HIO154" s="14"/>
      <c r="HIP154" s="14"/>
      <c r="HIQ154" s="14"/>
      <c r="HIR154" s="14"/>
      <c r="HIS154" s="14"/>
      <c r="HIT154" s="14"/>
      <c r="HIU154" s="14"/>
      <c r="HIV154" s="14"/>
      <c r="HIW154" s="14"/>
      <c r="HIX154" s="14"/>
      <c r="HIY154" s="14"/>
      <c r="HIZ154" s="14"/>
      <c r="HJA154" s="14"/>
      <c r="HJB154" s="14"/>
      <c r="HJC154" s="14"/>
      <c r="HJD154" s="14"/>
      <c r="HJE154" s="14"/>
      <c r="HJF154" s="14"/>
      <c r="HJG154" s="14"/>
      <c r="HJH154" s="14"/>
      <c r="HJI154" s="14"/>
      <c r="HJJ154" s="14"/>
      <c r="HJK154" s="14"/>
      <c r="HJL154" s="14"/>
      <c r="HJM154" s="14"/>
      <c r="HJN154" s="14"/>
      <c r="HJO154" s="14"/>
      <c r="HJP154" s="14"/>
      <c r="HJQ154" s="14"/>
      <c r="HJR154" s="14"/>
      <c r="HJS154" s="14"/>
      <c r="HJT154" s="14"/>
      <c r="HJU154" s="14"/>
      <c r="HJV154" s="14"/>
      <c r="HJW154" s="14"/>
      <c r="HJX154" s="14"/>
      <c r="HJY154" s="14"/>
      <c r="HJZ154" s="14"/>
      <c r="HKA154" s="14"/>
      <c r="HKB154" s="14"/>
      <c r="HKC154" s="14"/>
      <c r="HKD154" s="14"/>
      <c r="HKE154" s="14"/>
      <c r="HKF154" s="14"/>
      <c r="HKG154" s="14"/>
      <c r="HKH154" s="14"/>
      <c r="HKI154" s="14"/>
      <c r="HKJ154" s="14"/>
      <c r="HKK154" s="14"/>
      <c r="HKL154" s="14"/>
      <c r="HKM154" s="14"/>
      <c r="HKN154" s="14"/>
      <c r="HKO154" s="14"/>
      <c r="HKP154" s="14"/>
      <c r="HKQ154" s="14"/>
      <c r="HKR154" s="14"/>
      <c r="HKS154" s="14"/>
      <c r="HKT154" s="14"/>
      <c r="HKU154" s="14"/>
      <c r="HKV154" s="14"/>
      <c r="HKW154" s="14"/>
      <c r="HKX154" s="14"/>
      <c r="HKY154" s="14"/>
      <c r="HKZ154" s="14"/>
      <c r="HLA154" s="14"/>
      <c r="HLB154" s="14"/>
      <c r="HLC154" s="14"/>
      <c r="HLD154" s="14"/>
      <c r="HLE154" s="14"/>
      <c r="HLF154" s="14"/>
      <c r="HLG154" s="14"/>
      <c r="HLH154" s="14"/>
      <c r="HLI154" s="14"/>
      <c r="HLJ154" s="14"/>
      <c r="HLK154" s="14"/>
      <c r="HLL154" s="14"/>
      <c r="HLM154" s="14"/>
      <c r="HLN154" s="14"/>
      <c r="HLO154" s="14"/>
      <c r="HLP154" s="14"/>
      <c r="HLQ154" s="14"/>
      <c r="HLR154" s="14"/>
      <c r="HLS154" s="14"/>
      <c r="HLT154" s="14"/>
      <c r="HLU154" s="14"/>
      <c r="HLV154" s="14"/>
      <c r="HLW154" s="14"/>
      <c r="HLX154" s="14"/>
      <c r="HLY154" s="14"/>
      <c r="HLZ154" s="14"/>
      <c r="HMA154" s="14"/>
      <c r="HMB154" s="14"/>
      <c r="HMC154" s="14"/>
      <c r="HMD154" s="14"/>
      <c r="HME154" s="14"/>
      <c r="HMF154" s="14"/>
      <c r="HMG154" s="14"/>
      <c r="HMH154" s="14"/>
      <c r="HMI154" s="14"/>
      <c r="HMJ154" s="14"/>
      <c r="HMK154" s="14"/>
      <c r="HML154" s="14"/>
      <c r="HMM154" s="14"/>
      <c r="HMN154" s="14"/>
      <c r="HMO154" s="14"/>
      <c r="HMP154" s="14"/>
      <c r="HMQ154" s="14"/>
      <c r="HMR154" s="14"/>
      <c r="HMS154" s="14"/>
      <c r="HMT154" s="14"/>
      <c r="HMU154" s="14"/>
      <c r="HMV154" s="14"/>
      <c r="HMW154" s="14"/>
      <c r="HMX154" s="14"/>
      <c r="HMY154" s="14"/>
      <c r="HMZ154" s="14"/>
      <c r="HNA154" s="14"/>
      <c r="HNB154" s="14"/>
      <c r="HNC154" s="14"/>
      <c r="HND154" s="14"/>
      <c r="HNE154" s="14"/>
      <c r="HNF154" s="14"/>
      <c r="HNG154" s="14"/>
      <c r="HNH154" s="14"/>
      <c r="HNI154" s="14"/>
      <c r="HNJ154" s="14"/>
      <c r="HNK154" s="14"/>
      <c r="HNL154" s="14"/>
      <c r="HNM154" s="14"/>
      <c r="HNN154" s="14"/>
      <c r="HNO154" s="14"/>
      <c r="HNP154" s="14"/>
      <c r="HNQ154" s="14"/>
      <c r="HNR154" s="14"/>
      <c r="HNS154" s="14"/>
      <c r="HNT154" s="14"/>
      <c r="HNU154" s="14"/>
      <c r="HNV154" s="14"/>
      <c r="HNW154" s="14"/>
      <c r="HNX154" s="14"/>
      <c r="HNY154" s="14"/>
      <c r="HNZ154" s="14"/>
      <c r="HOA154" s="14"/>
      <c r="HOB154" s="14"/>
      <c r="HOC154" s="14"/>
      <c r="HOD154" s="14"/>
      <c r="HOE154" s="14"/>
      <c r="HOF154" s="14"/>
      <c r="HOG154" s="14"/>
      <c r="HOH154" s="14"/>
      <c r="HOI154" s="14"/>
      <c r="HOJ154" s="14"/>
      <c r="HOK154" s="14"/>
      <c r="HOL154" s="14"/>
      <c r="HOM154" s="14"/>
      <c r="HON154" s="14"/>
      <c r="HOO154" s="14"/>
      <c r="HOP154" s="14"/>
      <c r="HOQ154" s="14"/>
      <c r="HOR154" s="14"/>
      <c r="HOS154" s="14"/>
      <c r="HOT154" s="14"/>
      <c r="HOU154" s="14"/>
      <c r="HOV154" s="14"/>
      <c r="HOW154" s="14"/>
      <c r="HOX154" s="14"/>
      <c r="HOY154" s="14"/>
      <c r="HOZ154" s="14"/>
      <c r="HPA154" s="14"/>
      <c r="HPB154" s="14"/>
      <c r="HPC154" s="14"/>
      <c r="HPD154" s="14"/>
      <c r="HPE154" s="14"/>
      <c r="HPF154" s="14"/>
      <c r="HPG154" s="14"/>
      <c r="HPH154" s="14"/>
      <c r="HPI154" s="14"/>
      <c r="HPJ154" s="14"/>
      <c r="HPK154" s="14"/>
      <c r="HPL154" s="14"/>
      <c r="HPM154" s="14"/>
      <c r="HPN154" s="14"/>
      <c r="HPO154" s="14"/>
      <c r="HPP154" s="14"/>
      <c r="HPQ154" s="14"/>
      <c r="HPR154" s="14"/>
      <c r="HPS154" s="14"/>
      <c r="HPT154" s="14"/>
      <c r="HPU154" s="14"/>
      <c r="HPV154" s="14"/>
      <c r="HPW154" s="14"/>
      <c r="HPX154" s="14"/>
      <c r="HPY154" s="14"/>
      <c r="HPZ154" s="14"/>
      <c r="HQA154" s="14"/>
      <c r="HQB154" s="14"/>
      <c r="HQC154" s="14"/>
      <c r="HQD154" s="14"/>
      <c r="HQE154" s="14"/>
      <c r="HQF154" s="14"/>
      <c r="HQG154" s="14"/>
      <c r="HQH154" s="14"/>
      <c r="HQI154" s="14"/>
      <c r="HQJ154" s="14"/>
      <c r="HQK154" s="14"/>
      <c r="HQL154" s="14"/>
      <c r="HQM154" s="14"/>
      <c r="HQN154" s="14"/>
      <c r="HQO154" s="14"/>
      <c r="HQP154" s="14"/>
      <c r="HQQ154" s="14"/>
      <c r="HQR154" s="14"/>
      <c r="HQS154" s="14"/>
      <c r="HQT154" s="14"/>
      <c r="HQU154" s="14"/>
      <c r="HQV154" s="14"/>
      <c r="HQW154" s="14"/>
      <c r="HQX154" s="14"/>
      <c r="HQY154" s="14"/>
      <c r="HQZ154" s="14"/>
      <c r="HRA154" s="14"/>
      <c r="HRB154" s="14"/>
      <c r="HRC154" s="14"/>
      <c r="HRD154" s="14"/>
      <c r="HRE154" s="14"/>
      <c r="HRF154" s="14"/>
      <c r="HRG154" s="14"/>
      <c r="HRH154" s="14"/>
      <c r="HRI154" s="14"/>
      <c r="HRJ154" s="14"/>
      <c r="HRK154" s="14"/>
      <c r="HRL154" s="14"/>
      <c r="HRM154" s="14"/>
      <c r="HRN154" s="14"/>
      <c r="HRO154" s="14"/>
      <c r="HRP154" s="14"/>
      <c r="HRQ154" s="14"/>
      <c r="HRR154" s="14"/>
      <c r="HRS154" s="14"/>
      <c r="HRT154" s="14"/>
      <c r="HRU154" s="14"/>
      <c r="HRV154" s="14"/>
      <c r="HRW154" s="14"/>
      <c r="HRX154" s="14"/>
      <c r="HRY154" s="14"/>
      <c r="HRZ154" s="14"/>
      <c r="HSA154" s="14"/>
      <c r="HSB154" s="14"/>
      <c r="HSC154" s="14"/>
      <c r="HSD154" s="14"/>
      <c r="HSE154" s="14"/>
      <c r="HSF154" s="14"/>
      <c r="HSG154" s="14"/>
      <c r="HSH154" s="14"/>
      <c r="HSI154" s="14"/>
      <c r="HSJ154" s="14"/>
      <c r="HSK154" s="14"/>
      <c r="HSL154" s="14"/>
      <c r="HSM154" s="14"/>
      <c r="HSN154" s="14"/>
      <c r="HSO154" s="14"/>
      <c r="HSP154" s="14"/>
      <c r="HSQ154" s="14"/>
      <c r="HSR154" s="14"/>
      <c r="HSS154" s="14"/>
      <c r="HST154" s="14"/>
      <c r="HSU154" s="14"/>
      <c r="HSV154" s="14"/>
      <c r="HSW154" s="14"/>
      <c r="HSX154" s="14"/>
      <c r="HSY154" s="14"/>
      <c r="HSZ154" s="14"/>
      <c r="HTA154" s="14"/>
      <c r="HTB154" s="14"/>
      <c r="HTC154" s="14"/>
      <c r="HTD154" s="14"/>
      <c r="HTE154" s="14"/>
      <c r="HTF154" s="14"/>
      <c r="HTG154" s="14"/>
      <c r="HTH154" s="14"/>
      <c r="HTI154" s="14"/>
      <c r="HTJ154" s="14"/>
      <c r="HTK154" s="14"/>
      <c r="HTL154" s="14"/>
      <c r="HTM154" s="14"/>
      <c r="HTN154" s="14"/>
      <c r="HTO154" s="14"/>
      <c r="HTP154" s="14"/>
      <c r="HTQ154" s="14"/>
      <c r="HTR154" s="14"/>
      <c r="HTS154" s="14"/>
      <c r="HTT154" s="14"/>
      <c r="HTU154" s="14"/>
      <c r="HTV154" s="14"/>
      <c r="HTW154" s="14"/>
      <c r="HTX154" s="14"/>
      <c r="HTY154" s="14"/>
      <c r="HTZ154" s="14"/>
      <c r="HUA154" s="14"/>
      <c r="HUB154" s="14"/>
      <c r="HUC154" s="14"/>
      <c r="HUD154" s="14"/>
      <c r="HUE154" s="14"/>
      <c r="HUF154" s="14"/>
      <c r="HUG154" s="14"/>
      <c r="HUH154" s="14"/>
      <c r="HUI154" s="14"/>
      <c r="HUJ154" s="14"/>
      <c r="HUK154" s="14"/>
      <c r="HUL154" s="14"/>
      <c r="HUM154" s="14"/>
      <c r="HUN154" s="14"/>
      <c r="HUO154" s="14"/>
      <c r="HUP154" s="14"/>
      <c r="HUQ154" s="14"/>
      <c r="HUR154" s="14"/>
      <c r="HUS154" s="14"/>
      <c r="HUT154" s="14"/>
      <c r="HUU154" s="14"/>
      <c r="HUV154" s="14"/>
      <c r="HUW154" s="14"/>
      <c r="HUX154" s="14"/>
      <c r="HUY154" s="14"/>
      <c r="HUZ154" s="14"/>
      <c r="HVA154" s="14"/>
      <c r="HVB154" s="14"/>
      <c r="HVC154" s="14"/>
      <c r="HVD154" s="14"/>
      <c r="HVE154" s="14"/>
      <c r="HVF154" s="14"/>
      <c r="HVG154" s="14"/>
      <c r="HVH154" s="14"/>
      <c r="HVI154" s="14"/>
      <c r="HVJ154" s="14"/>
      <c r="HVK154" s="14"/>
      <c r="HVL154" s="14"/>
      <c r="HVM154" s="14"/>
      <c r="HVN154" s="14"/>
      <c r="HVO154" s="14"/>
      <c r="HVP154" s="14"/>
      <c r="HVQ154" s="14"/>
      <c r="HVR154" s="14"/>
      <c r="HVS154" s="14"/>
      <c r="HVT154" s="14"/>
      <c r="HVU154" s="14"/>
      <c r="HVV154" s="14"/>
      <c r="HVW154" s="14"/>
      <c r="HVX154" s="14"/>
      <c r="HVY154" s="14"/>
      <c r="HVZ154" s="14"/>
      <c r="HWA154" s="14"/>
      <c r="HWB154" s="14"/>
      <c r="HWC154" s="14"/>
      <c r="HWD154" s="14"/>
      <c r="HWE154" s="14"/>
      <c r="HWF154" s="14"/>
      <c r="HWG154" s="14"/>
      <c r="HWH154" s="14"/>
      <c r="HWI154" s="14"/>
      <c r="HWJ154" s="14"/>
      <c r="HWK154" s="14"/>
      <c r="HWL154" s="14"/>
      <c r="HWM154" s="14"/>
      <c r="HWN154" s="14"/>
      <c r="HWO154" s="14"/>
      <c r="HWP154" s="14"/>
      <c r="HWQ154" s="14"/>
      <c r="HWR154" s="14"/>
      <c r="HWS154" s="14"/>
      <c r="HWT154" s="14"/>
      <c r="HWU154" s="14"/>
      <c r="HWV154" s="14"/>
      <c r="HWW154" s="14"/>
      <c r="HWX154" s="14"/>
      <c r="HWY154" s="14"/>
      <c r="HWZ154" s="14"/>
      <c r="HXA154" s="14"/>
      <c r="HXB154" s="14"/>
      <c r="HXC154" s="14"/>
      <c r="HXD154" s="14"/>
      <c r="HXE154" s="14"/>
      <c r="HXF154" s="14"/>
      <c r="HXG154" s="14"/>
      <c r="HXH154" s="14"/>
      <c r="HXI154" s="14"/>
      <c r="HXJ154" s="14"/>
      <c r="HXK154" s="14"/>
      <c r="HXL154" s="14"/>
      <c r="HXM154" s="14"/>
      <c r="HXN154" s="14"/>
      <c r="HXO154" s="14"/>
      <c r="HXP154" s="14"/>
      <c r="HXQ154" s="14"/>
      <c r="HXR154" s="14"/>
      <c r="HXS154" s="14"/>
      <c r="HXT154" s="14"/>
      <c r="HXU154" s="14"/>
      <c r="HXV154" s="14"/>
      <c r="HXW154" s="14"/>
      <c r="HXX154" s="14"/>
      <c r="HXY154" s="14"/>
      <c r="HXZ154" s="14"/>
      <c r="HYA154" s="14"/>
      <c r="HYB154" s="14"/>
      <c r="HYC154" s="14"/>
      <c r="HYD154" s="14"/>
      <c r="HYE154" s="14"/>
      <c r="HYF154" s="14"/>
      <c r="HYG154" s="14"/>
      <c r="HYH154" s="14"/>
      <c r="HYI154" s="14"/>
      <c r="HYJ154" s="14"/>
      <c r="HYK154" s="14"/>
      <c r="HYL154" s="14"/>
      <c r="HYM154" s="14"/>
      <c r="HYN154" s="14"/>
      <c r="HYO154" s="14"/>
      <c r="HYP154" s="14"/>
      <c r="HYQ154" s="14"/>
      <c r="HYR154" s="14"/>
      <c r="HYS154" s="14"/>
      <c r="HYT154" s="14"/>
      <c r="HYU154" s="14"/>
      <c r="HYV154" s="14"/>
      <c r="HYW154" s="14"/>
      <c r="HYX154" s="14"/>
      <c r="HYY154" s="14"/>
      <c r="HYZ154" s="14"/>
      <c r="HZA154" s="14"/>
      <c r="HZB154" s="14"/>
      <c r="HZC154" s="14"/>
      <c r="HZD154" s="14"/>
      <c r="HZE154" s="14"/>
      <c r="HZF154" s="14"/>
      <c r="HZG154" s="14"/>
      <c r="HZH154" s="14"/>
      <c r="HZI154" s="14"/>
      <c r="HZJ154" s="14"/>
      <c r="HZK154" s="14"/>
      <c r="HZL154" s="14"/>
      <c r="HZM154" s="14"/>
      <c r="HZN154" s="14"/>
      <c r="HZO154" s="14"/>
      <c r="HZP154" s="14"/>
      <c r="HZQ154" s="14"/>
      <c r="HZR154" s="14"/>
      <c r="HZS154" s="14"/>
      <c r="HZT154" s="14"/>
      <c r="HZU154" s="14"/>
      <c r="HZV154" s="14"/>
      <c r="HZW154" s="14"/>
      <c r="HZX154" s="14"/>
      <c r="HZY154" s="14"/>
      <c r="HZZ154" s="14"/>
      <c r="IAA154" s="14"/>
      <c r="IAB154" s="14"/>
      <c r="IAC154" s="14"/>
      <c r="IAD154" s="14"/>
      <c r="IAE154" s="14"/>
      <c r="IAF154" s="14"/>
      <c r="IAG154" s="14"/>
      <c r="IAH154" s="14"/>
      <c r="IAI154" s="14"/>
      <c r="IAJ154" s="14"/>
      <c r="IAK154" s="14"/>
      <c r="IAL154" s="14"/>
      <c r="IAM154" s="14"/>
      <c r="IAN154" s="14"/>
      <c r="IAO154" s="14"/>
      <c r="IAP154" s="14"/>
      <c r="IAQ154" s="14"/>
      <c r="IAR154" s="14"/>
      <c r="IAS154" s="14"/>
      <c r="IAT154" s="14"/>
      <c r="IAU154" s="14"/>
      <c r="IAV154" s="14"/>
      <c r="IAW154" s="14"/>
      <c r="IAX154" s="14"/>
      <c r="IAY154" s="14"/>
      <c r="IAZ154" s="14"/>
      <c r="IBA154" s="14"/>
      <c r="IBB154" s="14"/>
      <c r="IBC154" s="14"/>
      <c r="IBD154" s="14"/>
      <c r="IBE154" s="14"/>
      <c r="IBF154" s="14"/>
      <c r="IBG154" s="14"/>
      <c r="IBH154" s="14"/>
      <c r="IBI154" s="14"/>
      <c r="IBJ154" s="14"/>
      <c r="IBK154" s="14"/>
      <c r="IBL154" s="14"/>
      <c r="IBM154" s="14"/>
      <c r="IBN154" s="14"/>
      <c r="IBO154" s="14"/>
      <c r="IBP154" s="14"/>
      <c r="IBQ154" s="14"/>
      <c r="IBR154" s="14"/>
      <c r="IBS154" s="14"/>
      <c r="IBT154" s="14"/>
      <c r="IBU154" s="14"/>
      <c r="IBV154" s="14"/>
      <c r="IBW154" s="14"/>
      <c r="IBX154" s="14"/>
      <c r="IBY154" s="14"/>
      <c r="IBZ154" s="14"/>
      <c r="ICA154" s="14"/>
      <c r="ICB154" s="14"/>
      <c r="ICC154" s="14"/>
      <c r="ICD154" s="14"/>
      <c r="ICE154" s="14"/>
      <c r="ICF154" s="14"/>
      <c r="ICG154" s="14"/>
      <c r="ICH154" s="14"/>
      <c r="ICI154" s="14"/>
      <c r="ICJ154" s="14"/>
      <c r="ICK154" s="14"/>
      <c r="ICL154" s="14"/>
      <c r="ICM154" s="14"/>
      <c r="ICN154" s="14"/>
      <c r="ICO154" s="14"/>
      <c r="ICP154" s="14"/>
      <c r="ICQ154" s="14"/>
      <c r="ICR154" s="14"/>
      <c r="ICS154" s="14"/>
      <c r="ICT154" s="14"/>
      <c r="ICU154" s="14"/>
      <c r="ICV154" s="14"/>
      <c r="ICW154" s="14"/>
      <c r="ICX154" s="14"/>
      <c r="ICY154" s="14"/>
      <c r="ICZ154" s="14"/>
      <c r="IDA154" s="14"/>
      <c r="IDB154" s="14"/>
      <c r="IDC154" s="14"/>
      <c r="IDD154" s="14"/>
      <c r="IDE154" s="14"/>
      <c r="IDF154" s="14"/>
      <c r="IDG154" s="14"/>
      <c r="IDH154" s="14"/>
      <c r="IDI154" s="14"/>
      <c r="IDJ154" s="14"/>
      <c r="IDK154" s="14"/>
      <c r="IDL154" s="14"/>
      <c r="IDM154" s="14"/>
      <c r="IDN154" s="14"/>
      <c r="IDO154" s="14"/>
      <c r="IDP154" s="14"/>
      <c r="IDQ154" s="14"/>
      <c r="IDR154" s="14"/>
      <c r="IDS154" s="14"/>
      <c r="IDT154" s="14"/>
      <c r="IDU154" s="14"/>
      <c r="IDV154" s="14"/>
      <c r="IDW154" s="14"/>
      <c r="IDX154" s="14"/>
      <c r="IDY154" s="14"/>
      <c r="IDZ154" s="14"/>
      <c r="IEA154" s="14"/>
      <c r="IEB154" s="14"/>
      <c r="IEC154" s="14"/>
      <c r="IED154" s="14"/>
      <c r="IEE154" s="14"/>
      <c r="IEF154" s="14"/>
      <c r="IEG154" s="14"/>
      <c r="IEH154" s="14"/>
      <c r="IEI154" s="14"/>
      <c r="IEJ154" s="14"/>
      <c r="IEK154" s="14"/>
      <c r="IEL154" s="14"/>
      <c r="IEM154" s="14"/>
      <c r="IEN154" s="14"/>
      <c r="IEO154" s="14"/>
      <c r="IEP154" s="14"/>
      <c r="IEQ154" s="14"/>
      <c r="IER154" s="14"/>
      <c r="IES154" s="14"/>
      <c r="IET154" s="14"/>
      <c r="IEU154" s="14"/>
      <c r="IEV154" s="14"/>
      <c r="IEW154" s="14"/>
      <c r="IEX154" s="14"/>
      <c r="IEY154" s="14"/>
      <c r="IEZ154" s="14"/>
      <c r="IFA154" s="14"/>
      <c r="IFB154" s="14"/>
      <c r="IFC154" s="14"/>
      <c r="IFD154" s="14"/>
      <c r="IFE154" s="14"/>
      <c r="IFF154" s="14"/>
      <c r="IFG154" s="14"/>
      <c r="IFH154" s="14"/>
      <c r="IFI154" s="14"/>
      <c r="IFJ154" s="14"/>
      <c r="IFK154" s="14"/>
      <c r="IFL154" s="14"/>
      <c r="IFM154" s="14"/>
      <c r="IFN154" s="14"/>
      <c r="IFO154" s="14"/>
      <c r="IFP154" s="14"/>
      <c r="IFQ154" s="14"/>
      <c r="IFR154" s="14"/>
      <c r="IFS154" s="14"/>
      <c r="IFT154" s="14"/>
      <c r="IFU154" s="14"/>
      <c r="IFV154" s="14"/>
      <c r="IFW154" s="14"/>
      <c r="IFX154" s="14"/>
      <c r="IFY154" s="14"/>
      <c r="IFZ154" s="14"/>
      <c r="IGA154" s="14"/>
      <c r="IGB154" s="14"/>
      <c r="IGC154" s="14"/>
      <c r="IGD154" s="14"/>
      <c r="IGE154" s="14"/>
      <c r="IGF154" s="14"/>
      <c r="IGG154" s="14"/>
      <c r="IGH154" s="14"/>
      <c r="IGI154" s="14"/>
      <c r="IGJ154" s="14"/>
      <c r="IGK154" s="14"/>
      <c r="IGL154" s="14"/>
      <c r="IGM154" s="14"/>
      <c r="IGN154" s="14"/>
      <c r="IGO154" s="14"/>
      <c r="IGP154" s="14"/>
      <c r="IGQ154" s="14"/>
      <c r="IGR154" s="14"/>
      <c r="IGS154" s="14"/>
      <c r="IGT154" s="14"/>
      <c r="IGU154" s="14"/>
      <c r="IGV154" s="14"/>
      <c r="IGW154" s="14"/>
      <c r="IGX154" s="14"/>
      <c r="IGY154" s="14"/>
      <c r="IGZ154" s="14"/>
      <c r="IHA154" s="14"/>
      <c r="IHB154" s="14"/>
      <c r="IHC154" s="14"/>
      <c r="IHD154" s="14"/>
      <c r="IHE154" s="14"/>
      <c r="IHF154" s="14"/>
      <c r="IHG154" s="14"/>
      <c r="IHH154" s="14"/>
      <c r="IHI154" s="14"/>
      <c r="IHJ154" s="14"/>
      <c r="IHK154" s="14"/>
      <c r="IHL154" s="14"/>
      <c r="IHM154" s="14"/>
      <c r="IHN154" s="14"/>
      <c r="IHO154" s="14"/>
      <c r="IHP154" s="14"/>
      <c r="IHQ154" s="14"/>
      <c r="IHR154" s="14"/>
      <c r="IHS154" s="14"/>
      <c r="IHT154" s="14"/>
      <c r="IHU154" s="14"/>
      <c r="IHV154" s="14"/>
      <c r="IHW154" s="14"/>
      <c r="IHX154" s="14"/>
      <c r="IHY154" s="14"/>
      <c r="IHZ154" s="14"/>
      <c r="IIA154" s="14"/>
      <c r="IIB154" s="14"/>
      <c r="IIC154" s="14"/>
      <c r="IID154" s="14"/>
      <c r="IIE154" s="14"/>
      <c r="IIF154" s="14"/>
      <c r="IIG154" s="14"/>
      <c r="IIH154" s="14"/>
      <c r="III154" s="14"/>
      <c r="IIJ154" s="14"/>
      <c r="IIK154" s="14"/>
      <c r="IIL154" s="14"/>
      <c r="IIM154" s="14"/>
      <c r="IIN154" s="14"/>
      <c r="IIO154" s="14"/>
      <c r="IIP154" s="14"/>
      <c r="IIQ154" s="14"/>
      <c r="IIR154" s="14"/>
      <c r="IIS154" s="14"/>
      <c r="IIT154" s="14"/>
      <c r="IIU154" s="14"/>
      <c r="IIV154" s="14"/>
      <c r="IIW154" s="14"/>
      <c r="IIX154" s="14"/>
      <c r="IIY154" s="14"/>
      <c r="IIZ154" s="14"/>
      <c r="IJA154" s="14"/>
      <c r="IJB154" s="14"/>
      <c r="IJC154" s="14"/>
      <c r="IJD154" s="14"/>
      <c r="IJE154" s="14"/>
      <c r="IJF154" s="14"/>
      <c r="IJG154" s="14"/>
      <c r="IJH154" s="14"/>
      <c r="IJI154" s="14"/>
      <c r="IJJ154" s="14"/>
      <c r="IJK154" s="14"/>
      <c r="IJL154" s="14"/>
      <c r="IJM154" s="14"/>
      <c r="IJN154" s="14"/>
      <c r="IJO154" s="14"/>
      <c r="IJP154" s="14"/>
      <c r="IJQ154" s="14"/>
      <c r="IJR154" s="14"/>
      <c r="IJS154" s="14"/>
      <c r="IJT154" s="14"/>
      <c r="IJU154" s="14"/>
      <c r="IJV154" s="14"/>
      <c r="IJW154" s="14"/>
      <c r="IJX154" s="14"/>
      <c r="IJY154" s="14"/>
      <c r="IJZ154" s="14"/>
      <c r="IKA154" s="14"/>
      <c r="IKB154" s="14"/>
      <c r="IKC154" s="14"/>
      <c r="IKD154" s="14"/>
      <c r="IKE154" s="14"/>
      <c r="IKF154" s="14"/>
      <c r="IKG154" s="14"/>
      <c r="IKH154" s="14"/>
      <c r="IKI154" s="14"/>
      <c r="IKJ154" s="14"/>
      <c r="IKK154" s="14"/>
      <c r="IKL154" s="14"/>
      <c r="IKM154" s="14"/>
      <c r="IKN154" s="14"/>
      <c r="IKO154" s="14"/>
      <c r="IKP154" s="14"/>
      <c r="IKQ154" s="14"/>
      <c r="IKR154" s="14"/>
      <c r="IKS154" s="14"/>
      <c r="IKT154" s="14"/>
      <c r="IKU154" s="14"/>
      <c r="IKV154" s="14"/>
      <c r="IKW154" s="14"/>
      <c r="IKX154" s="14"/>
      <c r="IKY154" s="14"/>
      <c r="IKZ154" s="14"/>
      <c r="ILA154" s="14"/>
      <c r="ILB154" s="14"/>
      <c r="ILC154" s="14"/>
      <c r="ILD154" s="14"/>
      <c r="ILE154" s="14"/>
      <c r="ILF154" s="14"/>
      <c r="ILG154" s="14"/>
      <c r="ILH154" s="14"/>
      <c r="ILI154" s="14"/>
      <c r="ILJ154" s="14"/>
      <c r="ILK154" s="14"/>
      <c r="ILL154" s="14"/>
      <c r="ILM154" s="14"/>
      <c r="ILN154" s="14"/>
      <c r="ILO154" s="14"/>
      <c r="ILP154" s="14"/>
      <c r="ILQ154" s="14"/>
      <c r="ILR154" s="14"/>
      <c r="ILS154" s="14"/>
      <c r="ILT154" s="14"/>
      <c r="ILU154" s="14"/>
      <c r="ILV154" s="14"/>
      <c r="ILW154" s="14"/>
      <c r="ILX154" s="14"/>
      <c r="ILY154" s="14"/>
      <c r="ILZ154" s="14"/>
      <c r="IMA154" s="14"/>
      <c r="IMB154" s="14"/>
      <c r="IMC154" s="14"/>
      <c r="IMD154" s="14"/>
      <c r="IME154" s="14"/>
      <c r="IMF154" s="14"/>
      <c r="IMG154" s="14"/>
      <c r="IMH154" s="14"/>
      <c r="IMI154" s="14"/>
      <c r="IMJ154" s="14"/>
      <c r="IMK154" s="14"/>
      <c r="IML154" s="14"/>
      <c r="IMM154" s="14"/>
      <c r="IMN154" s="14"/>
      <c r="IMO154" s="14"/>
      <c r="IMP154" s="14"/>
      <c r="IMQ154" s="14"/>
      <c r="IMR154" s="14"/>
      <c r="IMS154" s="14"/>
      <c r="IMT154" s="14"/>
      <c r="IMU154" s="14"/>
      <c r="IMV154" s="14"/>
      <c r="IMW154" s="14"/>
      <c r="IMX154" s="14"/>
      <c r="IMY154" s="14"/>
      <c r="IMZ154" s="14"/>
      <c r="INA154" s="14"/>
      <c r="INB154" s="14"/>
      <c r="INC154" s="14"/>
      <c r="IND154" s="14"/>
      <c r="INE154" s="14"/>
      <c r="INF154" s="14"/>
      <c r="ING154" s="14"/>
      <c r="INH154" s="14"/>
      <c r="INI154" s="14"/>
      <c r="INJ154" s="14"/>
      <c r="INK154" s="14"/>
      <c r="INL154" s="14"/>
      <c r="INM154" s="14"/>
      <c r="INN154" s="14"/>
      <c r="INO154" s="14"/>
      <c r="INP154" s="14"/>
      <c r="INQ154" s="14"/>
      <c r="INR154" s="14"/>
      <c r="INS154" s="14"/>
      <c r="INT154" s="14"/>
      <c r="INU154" s="14"/>
      <c r="INV154" s="14"/>
      <c r="INW154" s="14"/>
      <c r="INX154" s="14"/>
      <c r="INY154" s="14"/>
      <c r="INZ154" s="14"/>
      <c r="IOA154" s="14"/>
      <c r="IOB154" s="14"/>
      <c r="IOC154" s="14"/>
      <c r="IOD154" s="14"/>
      <c r="IOE154" s="14"/>
      <c r="IOF154" s="14"/>
      <c r="IOG154" s="14"/>
      <c r="IOH154" s="14"/>
      <c r="IOI154" s="14"/>
      <c r="IOJ154" s="14"/>
      <c r="IOK154" s="14"/>
      <c r="IOL154" s="14"/>
      <c r="IOM154" s="14"/>
      <c r="ION154" s="14"/>
      <c r="IOO154" s="14"/>
      <c r="IOP154" s="14"/>
      <c r="IOQ154" s="14"/>
      <c r="IOR154" s="14"/>
      <c r="IOS154" s="14"/>
      <c r="IOT154" s="14"/>
      <c r="IOU154" s="14"/>
      <c r="IOV154" s="14"/>
      <c r="IOW154" s="14"/>
      <c r="IOX154" s="14"/>
      <c r="IOY154" s="14"/>
      <c r="IOZ154" s="14"/>
      <c r="IPA154" s="14"/>
      <c r="IPB154" s="14"/>
      <c r="IPC154" s="14"/>
      <c r="IPD154" s="14"/>
      <c r="IPE154" s="14"/>
      <c r="IPF154" s="14"/>
      <c r="IPG154" s="14"/>
      <c r="IPH154" s="14"/>
      <c r="IPI154" s="14"/>
      <c r="IPJ154" s="14"/>
      <c r="IPK154" s="14"/>
      <c r="IPL154" s="14"/>
      <c r="IPM154" s="14"/>
      <c r="IPN154" s="14"/>
      <c r="IPO154" s="14"/>
      <c r="IPP154" s="14"/>
      <c r="IPQ154" s="14"/>
      <c r="IPR154" s="14"/>
      <c r="IPS154" s="14"/>
      <c r="IPT154" s="14"/>
      <c r="IPU154" s="14"/>
      <c r="IPV154" s="14"/>
      <c r="IPW154" s="14"/>
      <c r="IPX154" s="14"/>
      <c r="IPY154" s="14"/>
      <c r="IPZ154" s="14"/>
      <c r="IQA154" s="14"/>
      <c r="IQB154" s="14"/>
      <c r="IQC154" s="14"/>
      <c r="IQD154" s="14"/>
      <c r="IQE154" s="14"/>
      <c r="IQF154" s="14"/>
      <c r="IQG154" s="14"/>
      <c r="IQH154" s="14"/>
      <c r="IQI154" s="14"/>
      <c r="IQJ154" s="14"/>
      <c r="IQK154" s="14"/>
      <c r="IQL154" s="14"/>
      <c r="IQM154" s="14"/>
      <c r="IQN154" s="14"/>
      <c r="IQO154" s="14"/>
      <c r="IQP154" s="14"/>
      <c r="IQQ154" s="14"/>
      <c r="IQR154" s="14"/>
      <c r="IQS154" s="14"/>
      <c r="IQT154" s="14"/>
      <c r="IQU154" s="14"/>
      <c r="IQV154" s="14"/>
      <c r="IQW154" s="14"/>
      <c r="IQX154" s="14"/>
      <c r="IQY154" s="14"/>
      <c r="IQZ154" s="14"/>
      <c r="IRA154" s="14"/>
      <c r="IRB154" s="14"/>
      <c r="IRC154" s="14"/>
      <c r="IRD154" s="14"/>
      <c r="IRE154" s="14"/>
      <c r="IRF154" s="14"/>
      <c r="IRG154" s="14"/>
      <c r="IRH154" s="14"/>
      <c r="IRI154" s="14"/>
      <c r="IRJ154" s="14"/>
      <c r="IRK154" s="14"/>
      <c r="IRL154" s="14"/>
      <c r="IRM154" s="14"/>
      <c r="IRN154" s="14"/>
      <c r="IRO154" s="14"/>
      <c r="IRP154" s="14"/>
      <c r="IRQ154" s="14"/>
      <c r="IRR154" s="14"/>
      <c r="IRS154" s="14"/>
      <c r="IRT154" s="14"/>
      <c r="IRU154" s="14"/>
      <c r="IRV154" s="14"/>
      <c r="IRW154" s="14"/>
      <c r="IRX154" s="14"/>
      <c r="IRY154" s="14"/>
      <c r="IRZ154" s="14"/>
      <c r="ISA154" s="14"/>
      <c r="ISB154" s="14"/>
      <c r="ISC154" s="14"/>
      <c r="ISD154" s="14"/>
      <c r="ISE154" s="14"/>
      <c r="ISF154" s="14"/>
      <c r="ISG154" s="14"/>
      <c r="ISH154" s="14"/>
      <c r="ISI154" s="14"/>
      <c r="ISJ154" s="14"/>
      <c r="ISK154" s="14"/>
      <c r="ISL154" s="14"/>
      <c r="ISM154" s="14"/>
      <c r="ISN154" s="14"/>
      <c r="ISO154" s="14"/>
      <c r="ISP154" s="14"/>
      <c r="ISQ154" s="14"/>
      <c r="ISR154" s="14"/>
      <c r="ISS154" s="14"/>
      <c r="IST154" s="14"/>
      <c r="ISU154" s="14"/>
      <c r="ISV154" s="14"/>
      <c r="ISW154" s="14"/>
      <c r="ISX154" s="14"/>
      <c r="ISY154" s="14"/>
      <c r="ISZ154" s="14"/>
      <c r="ITA154" s="14"/>
      <c r="ITB154" s="14"/>
      <c r="ITC154" s="14"/>
      <c r="ITD154" s="14"/>
      <c r="ITE154" s="14"/>
      <c r="ITF154" s="14"/>
      <c r="ITG154" s="14"/>
      <c r="ITH154" s="14"/>
      <c r="ITI154" s="14"/>
      <c r="ITJ154" s="14"/>
      <c r="ITK154" s="14"/>
      <c r="ITL154" s="14"/>
      <c r="ITM154" s="14"/>
      <c r="ITN154" s="14"/>
      <c r="ITO154" s="14"/>
      <c r="ITP154" s="14"/>
      <c r="ITQ154" s="14"/>
      <c r="ITR154" s="14"/>
      <c r="ITS154" s="14"/>
      <c r="ITT154" s="14"/>
      <c r="ITU154" s="14"/>
      <c r="ITV154" s="14"/>
      <c r="ITW154" s="14"/>
      <c r="ITX154" s="14"/>
      <c r="ITY154" s="14"/>
      <c r="ITZ154" s="14"/>
      <c r="IUA154" s="14"/>
      <c r="IUB154" s="14"/>
      <c r="IUC154" s="14"/>
      <c r="IUD154" s="14"/>
      <c r="IUE154" s="14"/>
      <c r="IUF154" s="14"/>
      <c r="IUG154" s="14"/>
      <c r="IUH154" s="14"/>
      <c r="IUI154" s="14"/>
      <c r="IUJ154" s="14"/>
      <c r="IUK154" s="14"/>
      <c r="IUL154" s="14"/>
      <c r="IUM154" s="14"/>
      <c r="IUN154" s="14"/>
      <c r="IUO154" s="14"/>
      <c r="IUP154" s="14"/>
      <c r="IUQ154" s="14"/>
      <c r="IUR154" s="14"/>
      <c r="IUS154" s="14"/>
      <c r="IUT154" s="14"/>
      <c r="IUU154" s="14"/>
      <c r="IUV154" s="14"/>
      <c r="IUW154" s="14"/>
      <c r="IUX154" s="14"/>
      <c r="IUY154" s="14"/>
      <c r="IUZ154" s="14"/>
      <c r="IVA154" s="14"/>
      <c r="IVB154" s="14"/>
      <c r="IVC154" s="14"/>
      <c r="IVD154" s="14"/>
      <c r="IVE154" s="14"/>
      <c r="IVF154" s="14"/>
      <c r="IVG154" s="14"/>
      <c r="IVH154" s="14"/>
      <c r="IVI154" s="14"/>
      <c r="IVJ154" s="14"/>
      <c r="IVK154" s="14"/>
      <c r="IVL154" s="14"/>
      <c r="IVM154" s="14"/>
      <c r="IVN154" s="14"/>
      <c r="IVO154" s="14"/>
      <c r="IVP154" s="14"/>
      <c r="IVQ154" s="14"/>
      <c r="IVR154" s="14"/>
      <c r="IVS154" s="14"/>
      <c r="IVT154" s="14"/>
      <c r="IVU154" s="14"/>
      <c r="IVV154" s="14"/>
      <c r="IVW154" s="14"/>
      <c r="IVX154" s="14"/>
      <c r="IVY154" s="14"/>
      <c r="IVZ154" s="14"/>
      <c r="IWA154" s="14"/>
      <c r="IWB154" s="14"/>
      <c r="IWC154" s="14"/>
      <c r="IWD154" s="14"/>
      <c r="IWE154" s="14"/>
      <c r="IWF154" s="14"/>
      <c r="IWG154" s="14"/>
      <c r="IWH154" s="14"/>
      <c r="IWI154" s="14"/>
      <c r="IWJ154" s="14"/>
      <c r="IWK154" s="14"/>
      <c r="IWL154" s="14"/>
      <c r="IWM154" s="14"/>
      <c r="IWN154" s="14"/>
      <c r="IWO154" s="14"/>
      <c r="IWP154" s="14"/>
      <c r="IWQ154" s="14"/>
      <c r="IWR154" s="14"/>
      <c r="IWS154" s="14"/>
      <c r="IWT154" s="14"/>
      <c r="IWU154" s="14"/>
      <c r="IWV154" s="14"/>
      <c r="IWW154" s="14"/>
      <c r="IWX154" s="14"/>
      <c r="IWY154" s="14"/>
      <c r="IWZ154" s="14"/>
      <c r="IXA154" s="14"/>
      <c r="IXB154" s="14"/>
      <c r="IXC154" s="14"/>
      <c r="IXD154" s="14"/>
      <c r="IXE154" s="14"/>
      <c r="IXF154" s="14"/>
      <c r="IXG154" s="14"/>
      <c r="IXH154" s="14"/>
      <c r="IXI154" s="14"/>
      <c r="IXJ154" s="14"/>
      <c r="IXK154" s="14"/>
      <c r="IXL154" s="14"/>
      <c r="IXM154" s="14"/>
      <c r="IXN154" s="14"/>
      <c r="IXO154" s="14"/>
      <c r="IXP154" s="14"/>
      <c r="IXQ154" s="14"/>
      <c r="IXR154" s="14"/>
      <c r="IXS154" s="14"/>
      <c r="IXT154" s="14"/>
      <c r="IXU154" s="14"/>
      <c r="IXV154" s="14"/>
      <c r="IXW154" s="14"/>
      <c r="IXX154" s="14"/>
      <c r="IXY154" s="14"/>
      <c r="IXZ154" s="14"/>
      <c r="IYA154" s="14"/>
      <c r="IYB154" s="14"/>
      <c r="IYC154" s="14"/>
      <c r="IYD154" s="14"/>
      <c r="IYE154" s="14"/>
      <c r="IYF154" s="14"/>
      <c r="IYG154" s="14"/>
      <c r="IYH154" s="14"/>
      <c r="IYI154" s="14"/>
      <c r="IYJ154" s="14"/>
      <c r="IYK154" s="14"/>
      <c r="IYL154" s="14"/>
      <c r="IYM154" s="14"/>
      <c r="IYN154" s="14"/>
      <c r="IYO154" s="14"/>
      <c r="IYP154" s="14"/>
      <c r="IYQ154" s="14"/>
      <c r="IYR154" s="14"/>
      <c r="IYS154" s="14"/>
      <c r="IYT154" s="14"/>
      <c r="IYU154" s="14"/>
      <c r="IYV154" s="14"/>
      <c r="IYW154" s="14"/>
      <c r="IYX154" s="14"/>
      <c r="IYY154" s="14"/>
      <c r="IYZ154" s="14"/>
      <c r="IZA154" s="14"/>
      <c r="IZB154" s="14"/>
      <c r="IZC154" s="14"/>
      <c r="IZD154" s="14"/>
      <c r="IZE154" s="14"/>
      <c r="IZF154" s="14"/>
      <c r="IZG154" s="14"/>
      <c r="IZH154" s="14"/>
      <c r="IZI154" s="14"/>
      <c r="IZJ154" s="14"/>
      <c r="IZK154" s="14"/>
      <c r="IZL154" s="14"/>
      <c r="IZM154" s="14"/>
      <c r="IZN154" s="14"/>
      <c r="IZO154" s="14"/>
      <c r="IZP154" s="14"/>
      <c r="IZQ154" s="14"/>
      <c r="IZR154" s="14"/>
      <c r="IZS154" s="14"/>
      <c r="IZT154" s="14"/>
      <c r="IZU154" s="14"/>
      <c r="IZV154" s="14"/>
      <c r="IZW154" s="14"/>
      <c r="IZX154" s="14"/>
      <c r="IZY154" s="14"/>
      <c r="IZZ154" s="14"/>
      <c r="JAA154" s="14"/>
      <c r="JAB154" s="14"/>
      <c r="JAC154" s="14"/>
      <c r="JAD154" s="14"/>
      <c r="JAE154" s="14"/>
      <c r="JAF154" s="14"/>
      <c r="JAG154" s="14"/>
      <c r="JAH154" s="14"/>
      <c r="JAI154" s="14"/>
      <c r="JAJ154" s="14"/>
      <c r="JAK154" s="14"/>
      <c r="JAL154" s="14"/>
      <c r="JAM154" s="14"/>
      <c r="JAN154" s="14"/>
      <c r="JAO154" s="14"/>
      <c r="JAP154" s="14"/>
      <c r="JAQ154" s="14"/>
      <c r="JAR154" s="14"/>
      <c r="JAS154" s="14"/>
      <c r="JAT154" s="14"/>
      <c r="JAU154" s="14"/>
      <c r="JAV154" s="14"/>
      <c r="JAW154" s="14"/>
      <c r="JAX154" s="14"/>
      <c r="JAY154" s="14"/>
      <c r="JAZ154" s="14"/>
      <c r="JBA154" s="14"/>
      <c r="JBB154" s="14"/>
      <c r="JBC154" s="14"/>
      <c r="JBD154" s="14"/>
      <c r="JBE154" s="14"/>
      <c r="JBF154" s="14"/>
      <c r="JBG154" s="14"/>
      <c r="JBH154" s="14"/>
      <c r="JBI154" s="14"/>
      <c r="JBJ154" s="14"/>
      <c r="JBK154" s="14"/>
      <c r="JBL154" s="14"/>
      <c r="JBM154" s="14"/>
      <c r="JBN154" s="14"/>
      <c r="JBO154" s="14"/>
      <c r="JBP154" s="14"/>
      <c r="JBQ154" s="14"/>
      <c r="JBR154" s="14"/>
      <c r="JBS154" s="14"/>
      <c r="JBT154" s="14"/>
      <c r="JBU154" s="14"/>
      <c r="JBV154" s="14"/>
      <c r="JBW154" s="14"/>
      <c r="JBX154" s="14"/>
      <c r="JBY154" s="14"/>
      <c r="JBZ154" s="14"/>
      <c r="JCA154" s="14"/>
      <c r="JCB154" s="14"/>
      <c r="JCC154" s="14"/>
      <c r="JCD154" s="14"/>
      <c r="JCE154" s="14"/>
      <c r="JCF154" s="14"/>
      <c r="JCG154" s="14"/>
      <c r="JCH154" s="14"/>
      <c r="JCI154" s="14"/>
      <c r="JCJ154" s="14"/>
      <c r="JCK154" s="14"/>
      <c r="JCL154" s="14"/>
      <c r="JCM154" s="14"/>
      <c r="JCN154" s="14"/>
      <c r="JCO154" s="14"/>
      <c r="JCP154" s="14"/>
      <c r="JCQ154" s="14"/>
      <c r="JCR154" s="14"/>
      <c r="JCS154" s="14"/>
      <c r="JCT154" s="14"/>
      <c r="JCU154" s="14"/>
      <c r="JCV154" s="14"/>
      <c r="JCW154" s="14"/>
      <c r="JCX154" s="14"/>
      <c r="JCY154" s="14"/>
      <c r="JCZ154" s="14"/>
      <c r="JDA154" s="14"/>
      <c r="JDB154" s="14"/>
      <c r="JDC154" s="14"/>
      <c r="JDD154" s="14"/>
      <c r="JDE154" s="14"/>
      <c r="JDF154" s="14"/>
      <c r="JDG154" s="14"/>
      <c r="JDH154" s="14"/>
      <c r="JDI154" s="14"/>
      <c r="JDJ154" s="14"/>
      <c r="JDK154" s="14"/>
      <c r="JDL154" s="14"/>
      <c r="JDM154" s="14"/>
      <c r="JDN154" s="14"/>
      <c r="JDO154" s="14"/>
      <c r="JDP154" s="14"/>
      <c r="JDQ154" s="14"/>
      <c r="JDR154" s="14"/>
      <c r="JDS154" s="14"/>
      <c r="JDT154" s="14"/>
      <c r="JDU154" s="14"/>
      <c r="JDV154" s="14"/>
      <c r="JDW154" s="14"/>
      <c r="JDX154" s="14"/>
      <c r="JDY154" s="14"/>
      <c r="JDZ154" s="14"/>
      <c r="JEA154" s="14"/>
      <c r="JEB154" s="14"/>
      <c r="JEC154" s="14"/>
      <c r="JED154" s="14"/>
      <c r="JEE154" s="14"/>
      <c r="JEF154" s="14"/>
      <c r="JEG154" s="14"/>
      <c r="JEH154" s="14"/>
      <c r="JEI154" s="14"/>
      <c r="JEJ154" s="14"/>
      <c r="JEK154" s="14"/>
      <c r="JEL154" s="14"/>
      <c r="JEM154" s="14"/>
      <c r="JEN154" s="14"/>
      <c r="JEO154" s="14"/>
      <c r="JEP154" s="14"/>
      <c r="JEQ154" s="14"/>
      <c r="JER154" s="14"/>
      <c r="JES154" s="14"/>
      <c r="JET154" s="14"/>
      <c r="JEU154" s="14"/>
      <c r="JEV154" s="14"/>
      <c r="JEW154" s="14"/>
      <c r="JEX154" s="14"/>
      <c r="JEY154" s="14"/>
      <c r="JEZ154" s="14"/>
      <c r="JFA154" s="14"/>
      <c r="JFB154" s="14"/>
      <c r="JFC154" s="14"/>
      <c r="JFD154" s="14"/>
      <c r="JFE154" s="14"/>
      <c r="JFF154" s="14"/>
      <c r="JFG154" s="14"/>
      <c r="JFH154" s="14"/>
      <c r="JFI154" s="14"/>
      <c r="JFJ154" s="14"/>
      <c r="JFK154" s="14"/>
      <c r="JFL154" s="14"/>
      <c r="JFM154" s="14"/>
      <c r="JFN154" s="14"/>
      <c r="JFO154" s="14"/>
      <c r="JFP154" s="14"/>
      <c r="JFQ154" s="14"/>
      <c r="JFR154" s="14"/>
      <c r="JFS154" s="14"/>
      <c r="JFT154" s="14"/>
      <c r="JFU154" s="14"/>
      <c r="JFV154" s="14"/>
      <c r="JFW154" s="14"/>
      <c r="JFX154" s="14"/>
      <c r="JFY154" s="14"/>
      <c r="JFZ154" s="14"/>
      <c r="JGA154" s="14"/>
      <c r="JGB154" s="14"/>
      <c r="JGC154" s="14"/>
      <c r="JGD154" s="14"/>
      <c r="JGE154" s="14"/>
      <c r="JGF154" s="14"/>
      <c r="JGG154" s="14"/>
      <c r="JGH154" s="14"/>
      <c r="JGI154" s="14"/>
      <c r="JGJ154" s="14"/>
      <c r="JGK154" s="14"/>
      <c r="JGL154" s="14"/>
      <c r="JGM154" s="14"/>
      <c r="JGN154" s="14"/>
      <c r="JGO154" s="14"/>
      <c r="JGP154" s="14"/>
      <c r="JGQ154" s="14"/>
      <c r="JGR154" s="14"/>
      <c r="JGS154" s="14"/>
      <c r="JGT154" s="14"/>
      <c r="JGU154" s="14"/>
      <c r="JGV154" s="14"/>
      <c r="JGW154" s="14"/>
      <c r="JGX154" s="14"/>
      <c r="JGY154" s="14"/>
      <c r="JGZ154" s="14"/>
      <c r="JHA154" s="14"/>
      <c r="JHB154" s="14"/>
      <c r="JHC154" s="14"/>
      <c r="JHD154" s="14"/>
      <c r="JHE154" s="14"/>
      <c r="JHF154" s="14"/>
      <c r="JHG154" s="14"/>
      <c r="JHH154" s="14"/>
      <c r="JHI154" s="14"/>
      <c r="JHJ154" s="14"/>
      <c r="JHK154" s="14"/>
      <c r="JHL154" s="14"/>
      <c r="JHM154" s="14"/>
      <c r="JHN154" s="14"/>
      <c r="JHO154" s="14"/>
      <c r="JHP154" s="14"/>
      <c r="JHQ154" s="14"/>
      <c r="JHR154" s="14"/>
      <c r="JHS154" s="14"/>
      <c r="JHT154" s="14"/>
      <c r="JHU154" s="14"/>
      <c r="JHV154" s="14"/>
      <c r="JHW154" s="14"/>
      <c r="JHX154" s="14"/>
      <c r="JHY154" s="14"/>
      <c r="JHZ154" s="14"/>
      <c r="JIA154" s="14"/>
      <c r="JIB154" s="14"/>
      <c r="JIC154" s="14"/>
      <c r="JID154" s="14"/>
      <c r="JIE154" s="14"/>
      <c r="JIF154" s="14"/>
      <c r="JIG154" s="14"/>
      <c r="JIH154" s="14"/>
      <c r="JII154" s="14"/>
      <c r="JIJ154" s="14"/>
      <c r="JIK154" s="14"/>
      <c r="JIL154" s="14"/>
      <c r="JIM154" s="14"/>
      <c r="JIN154" s="14"/>
      <c r="JIO154" s="14"/>
      <c r="JIP154" s="14"/>
      <c r="JIQ154" s="14"/>
      <c r="JIR154" s="14"/>
      <c r="JIS154" s="14"/>
      <c r="JIT154" s="14"/>
      <c r="JIU154" s="14"/>
      <c r="JIV154" s="14"/>
      <c r="JIW154" s="14"/>
      <c r="JIX154" s="14"/>
      <c r="JIY154" s="14"/>
      <c r="JIZ154" s="14"/>
      <c r="JJA154" s="14"/>
      <c r="JJB154" s="14"/>
      <c r="JJC154" s="14"/>
      <c r="JJD154" s="14"/>
      <c r="JJE154" s="14"/>
      <c r="JJF154" s="14"/>
      <c r="JJG154" s="14"/>
      <c r="JJH154" s="14"/>
      <c r="JJI154" s="14"/>
      <c r="JJJ154" s="14"/>
      <c r="JJK154" s="14"/>
      <c r="JJL154" s="14"/>
      <c r="JJM154" s="14"/>
      <c r="JJN154" s="14"/>
      <c r="JJO154" s="14"/>
      <c r="JJP154" s="14"/>
      <c r="JJQ154" s="14"/>
      <c r="JJR154" s="14"/>
      <c r="JJS154" s="14"/>
      <c r="JJT154" s="14"/>
      <c r="JJU154" s="14"/>
      <c r="JJV154" s="14"/>
      <c r="JJW154" s="14"/>
      <c r="JJX154" s="14"/>
      <c r="JJY154" s="14"/>
      <c r="JJZ154" s="14"/>
      <c r="JKA154" s="14"/>
      <c r="JKB154" s="14"/>
      <c r="JKC154" s="14"/>
      <c r="JKD154" s="14"/>
      <c r="JKE154" s="14"/>
      <c r="JKF154" s="14"/>
      <c r="JKG154" s="14"/>
      <c r="JKH154" s="14"/>
      <c r="JKI154" s="14"/>
      <c r="JKJ154" s="14"/>
      <c r="JKK154" s="14"/>
      <c r="JKL154" s="14"/>
      <c r="JKM154" s="14"/>
      <c r="JKN154" s="14"/>
      <c r="JKO154" s="14"/>
      <c r="JKP154" s="14"/>
      <c r="JKQ154" s="14"/>
      <c r="JKR154" s="14"/>
      <c r="JKS154" s="14"/>
      <c r="JKT154" s="14"/>
      <c r="JKU154" s="14"/>
      <c r="JKV154" s="14"/>
      <c r="JKW154" s="14"/>
      <c r="JKX154" s="14"/>
      <c r="JKY154" s="14"/>
      <c r="JKZ154" s="14"/>
      <c r="JLA154" s="14"/>
      <c r="JLB154" s="14"/>
      <c r="JLC154" s="14"/>
      <c r="JLD154" s="14"/>
      <c r="JLE154" s="14"/>
      <c r="JLF154" s="14"/>
      <c r="JLG154" s="14"/>
      <c r="JLH154" s="14"/>
      <c r="JLI154" s="14"/>
      <c r="JLJ154" s="14"/>
      <c r="JLK154" s="14"/>
      <c r="JLL154" s="14"/>
      <c r="JLM154" s="14"/>
      <c r="JLN154" s="14"/>
      <c r="JLO154" s="14"/>
      <c r="JLP154" s="14"/>
      <c r="JLQ154" s="14"/>
      <c r="JLR154" s="14"/>
      <c r="JLS154" s="14"/>
      <c r="JLT154" s="14"/>
      <c r="JLU154" s="14"/>
      <c r="JLV154" s="14"/>
      <c r="JLW154" s="14"/>
      <c r="JLX154" s="14"/>
      <c r="JLY154" s="14"/>
      <c r="JLZ154" s="14"/>
      <c r="JMA154" s="14"/>
      <c r="JMB154" s="14"/>
      <c r="JMC154" s="14"/>
      <c r="JMD154" s="14"/>
      <c r="JME154" s="14"/>
      <c r="JMF154" s="14"/>
      <c r="JMG154" s="14"/>
      <c r="JMH154" s="14"/>
      <c r="JMI154" s="14"/>
      <c r="JMJ154" s="14"/>
      <c r="JMK154" s="14"/>
      <c r="JML154" s="14"/>
      <c r="JMM154" s="14"/>
      <c r="JMN154" s="14"/>
      <c r="JMO154" s="14"/>
      <c r="JMP154" s="14"/>
      <c r="JMQ154" s="14"/>
      <c r="JMR154" s="14"/>
      <c r="JMS154" s="14"/>
      <c r="JMT154" s="14"/>
      <c r="JMU154" s="14"/>
      <c r="JMV154" s="14"/>
      <c r="JMW154" s="14"/>
      <c r="JMX154" s="14"/>
      <c r="JMY154" s="14"/>
      <c r="JMZ154" s="14"/>
      <c r="JNA154" s="14"/>
      <c r="JNB154" s="14"/>
      <c r="JNC154" s="14"/>
      <c r="JND154" s="14"/>
      <c r="JNE154" s="14"/>
      <c r="JNF154" s="14"/>
      <c r="JNG154" s="14"/>
      <c r="JNH154" s="14"/>
      <c r="JNI154" s="14"/>
      <c r="JNJ154" s="14"/>
      <c r="JNK154" s="14"/>
      <c r="JNL154" s="14"/>
      <c r="JNM154" s="14"/>
      <c r="JNN154" s="14"/>
      <c r="JNO154" s="14"/>
      <c r="JNP154" s="14"/>
      <c r="JNQ154" s="14"/>
      <c r="JNR154" s="14"/>
      <c r="JNS154" s="14"/>
      <c r="JNT154" s="14"/>
      <c r="JNU154" s="14"/>
      <c r="JNV154" s="14"/>
      <c r="JNW154" s="14"/>
      <c r="JNX154" s="14"/>
      <c r="JNY154" s="14"/>
      <c r="JNZ154" s="14"/>
      <c r="JOA154" s="14"/>
      <c r="JOB154" s="14"/>
      <c r="JOC154" s="14"/>
      <c r="JOD154" s="14"/>
      <c r="JOE154" s="14"/>
      <c r="JOF154" s="14"/>
      <c r="JOG154" s="14"/>
      <c r="JOH154" s="14"/>
      <c r="JOI154" s="14"/>
      <c r="JOJ154" s="14"/>
      <c r="JOK154" s="14"/>
      <c r="JOL154" s="14"/>
      <c r="JOM154" s="14"/>
      <c r="JON154" s="14"/>
      <c r="JOO154" s="14"/>
      <c r="JOP154" s="14"/>
      <c r="JOQ154" s="14"/>
      <c r="JOR154" s="14"/>
      <c r="JOS154" s="14"/>
      <c r="JOT154" s="14"/>
      <c r="JOU154" s="14"/>
      <c r="JOV154" s="14"/>
      <c r="JOW154" s="14"/>
      <c r="JOX154" s="14"/>
      <c r="JOY154" s="14"/>
      <c r="JOZ154" s="14"/>
      <c r="JPA154" s="14"/>
      <c r="JPB154" s="14"/>
      <c r="JPC154" s="14"/>
      <c r="JPD154" s="14"/>
      <c r="JPE154" s="14"/>
      <c r="JPF154" s="14"/>
      <c r="JPG154" s="14"/>
      <c r="JPH154" s="14"/>
      <c r="JPI154" s="14"/>
      <c r="JPJ154" s="14"/>
      <c r="JPK154" s="14"/>
      <c r="JPL154" s="14"/>
      <c r="JPM154" s="14"/>
      <c r="JPN154" s="14"/>
      <c r="JPO154" s="14"/>
      <c r="JPP154" s="14"/>
      <c r="JPQ154" s="14"/>
      <c r="JPR154" s="14"/>
      <c r="JPS154" s="14"/>
      <c r="JPT154" s="14"/>
      <c r="JPU154" s="14"/>
      <c r="JPV154" s="14"/>
      <c r="JPW154" s="14"/>
      <c r="JPX154" s="14"/>
      <c r="JPY154" s="14"/>
      <c r="JPZ154" s="14"/>
      <c r="JQA154" s="14"/>
      <c r="JQB154" s="14"/>
      <c r="JQC154" s="14"/>
      <c r="JQD154" s="14"/>
      <c r="JQE154" s="14"/>
      <c r="JQF154" s="14"/>
      <c r="JQG154" s="14"/>
      <c r="JQH154" s="14"/>
      <c r="JQI154" s="14"/>
      <c r="JQJ154" s="14"/>
      <c r="JQK154" s="14"/>
      <c r="JQL154" s="14"/>
      <c r="JQM154" s="14"/>
      <c r="JQN154" s="14"/>
      <c r="JQO154" s="14"/>
      <c r="JQP154" s="14"/>
      <c r="JQQ154" s="14"/>
      <c r="JQR154" s="14"/>
      <c r="JQS154" s="14"/>
      <c r="JQT154" s="14"/>
      <c r="JQU154" s="14"/>
      <c r="JQV154" s="14"/>
      <c r="JQW154" s="14"/>
      <c r="JQX154" s="14"/>
      <c r="JQY154" s="14"/>
      <c r="JQZ154" s="14"/>
      <c r="JRA154" s="14"/>
      <c r="JRB154" s="14"/>
      <c r="JRC154" s="14"/>
      <c r="JRD154" s="14"/>
      <c r="JRE154" s="14"/>
      <c r="JRF154" s="14"/>
      <c r="JRG154" s="14"/>
      <c r="JRH154" s="14"/>
      <c r="JRI154" s="14"/>
      <c r="JRJ154" s="14"/>
      <c r="JRK154" s="14"/>
      <c r="JRL154" s="14"/>
      <c r="JRM154" s="14"/>
      <c r="JRN154" s="14"/>
      <c r="JRO154" s="14"/>
      <c r="JRP154" s="14"/>
      <c r="JRQ154" s="14"/>
      <c r="JRR154" s="14"/>
      <c r="JRS154" s="14"/>
      <c r="JRT154" s="14"/>
      <c r="JRU154" s="14"/>
      <c r="JRV154" s="14"/>
      <c r="JRW154" s="14"/>
      <c r="JRX154" s="14"/>
      <c r="JRY154" s="14"/>
      <c r="JRZ154" s="14"/>
      <c r="JSA154" s="14"/>
      <c r="JSB154" s="14"/>
      <c r="JSC154" s="14"/>
      <c r="JSD154" s="14"/>
      <c r="JSE154" s="14"/>
      <c r="JSF154" s="14"/>
      <c r="JSG154" s="14"/>
      <c r="JSH154" s="14"/>
      <c r="JSI154" s="14"/>
      <c r="JSJ154" s="14"/>
      <c r="JSK154" s="14"/>
      <c r="JSL154" s="14"/>
      <c r="JSM154" s="14"/>
      <c r="JSN154" s="14"/>
      <c r="JSO154" s="14"/>
      <c r="JSP154" s="14"/>
      <c r="JSQ154" s="14"/>
      <c r="JSR154" s="14"/>
      <c r="JSS154" s="14"/>
      <c r="JST154" s="14"/>
      <c r="JSU154" s="14"/>
      <c r="JSV154" s="14"/>
      <c r="JSW154" s="14"/>
      <c r="JSX154" s="14"/>
      <c r="JSY154" s="14"/>
      <c r="JSZ154" s="14"/>
      <c r="JTA154" s="14"/>
      <c r="JTB154" s="14"/>
      <c r="JTC154" s="14"/>
      <c r="JTD154" s="14"/>
      <c r="JTE154" s="14"/>
      <c r="JTF154" s="14"/>
      <c r="JTG154" s="14"/>
      <c r="JTH154" s="14"/>
      <c r="JTI154" s="14"/>
      <c r="JTJ154" s="14"/>
      <c r="JTK154" s="14"/>
      <c r="JTL154" s="14"/>
      <c r="JTM154" s="14"/>
      <c r="JTN154" s="14"/>
      <c r="JTO154" s="14"/>
      <c r="JTP154" s="14"/>
      <c r="JTQ154" s="14"/>
      <c r="JTR154" s="14"/>
      <c r="JTS154" s="14"/>
      <c r="JTT154" s="14"/>
      <c r="JTU154" s="14"/>
      <c r="JTV154" s="14"/>
      <c r="JTW154" s="14"/>
      <c r="JTX154" s="14"/>
      <c r="JTY154" s="14"/>
      <c r="JTZ154" s="14"/>
      <c r="JUA154" s="14"/>
      <c r="JUB154" s="14"/>
      <c r="JUC154" s="14"/>
      <c r="JUD154" s="14"/>
      <c r="JUE154" s="14"/>
      <c r="JUF154" s="14"/>
      <c r="JUG154" s="14"/>
      <c r="JUH154" s="14"/>
      <c r="JUI154" s="14"/>
      <c r="JUJ154" s="14"/>
      <c r="JUK154" s="14"/>
      <c r="JUL154" s="14"/>
      <c r="JUM154" s="14"/>
      <c r="JUN154" s="14"/>
      <c r="JUO154" s="14"/>
      <c r="JUP154" s="14"/>
      <c r="JUQ154" s="14"/>
      <c r="JUR154" s="14"/>
      <c r="JUS154" s="14"/>
      <c r="JUT154" s="14"/>
      <c r="JUU154" s="14"/>
      <c r="JUV154" s="14"/>
      <c r="JUW154" s="14"/>
      <c r="JUX154" s="14"/>
      <c r="JUY154" s="14"/>
      <c r="JUZ154" s="14"/>
      <c r="JVA154" s="14"/>
      <c r="JVB154" s="14"/>
      <c r="JVC154" s="14"/>
      <c r="JVD154" s="14"/>
      <c r="JVE154" s="14"/>
      <c r="JVF154" s="14"/>
      <c r="JVG154" s="14"/>
      <c r="JVH154" s="14"/>
      <c r="JVI154" s="14"/>
      <c r="JVJ154" s="14"/>
      <c r="JVK154" s="14"/>
      <c r="JVL154" s="14"/>
      <c r="JVM154" s="14"/>
      <c r="JVN154" s="14"/>
      <c r="JVO154" s="14"/>
      <c r="JVP154" s="14"/>
      <c r="JVQ154" s="14"/>
      <c r="JVR154" s="14"/>
      <c r="JVS154" s="14"/>
      <c r="JVT154" s="14"/>
      <c r="JVU154" s="14"/>
      <c r="JVV154" s="14"/>
      <c r="JVW154" s="14"/>
      <c r="JVX154" s="14"/>
      <c r="JVY154" s="14"/>
      <c r="JVZ154" s="14"/>
      <c r="JWA154" s="14"/>
      <c r="JWB154" s="14"/>
      <c r="JWC154" s="14"/>
      <c r="JWD154" s="14"/>
      <c r="JWE154" s="14"/>
      <c r="JWF154" s="14"/>
      <c r="JWG154" s="14"/>
      <c r="JWH154" s="14"/>
      <c r="JWI154" s="14"/>
      <c r="JWJ154" s="14"/>
      <c r="JWK154" s="14"/>
      <c r="JWL154" s="14"/>
      <c r="JWM154" s="14"/>
      <c r="JWN154" s="14"/>
      <c r="JWO154" s="14"/>
      <c r="JWP154" s="14"/>
      <c r="JWQ154" s="14"/>
      <c r="JWR154" s="14"/>
      <c r="JWS154" s="14"/>
      <c r="JWT154" s="14"/>
      <c r="JWU154" s="14"/>
      <c r="JWV154" s="14"/>
      <c r="JWW154" s="14"/>
      <c r="JWX154" s="14"/>
      <c r="JWY154" s="14"/>
      <c r="JWZ154" s="14"/>
      <c r="JXA154" s="14"/>
      <c r="JXB154" s="14"/>
      <c r="JXC154" s="14"/>
      <c r="JXD154" s="14"/>
      <c r="JXE154" s="14"/>
      <c r="JXF154" s="14"/>
      <c r="JXG154" s="14"/>
      <c r="JXH154" s="14"/>
      <c r="JXI154" s="14"/>
      <c r="JXJ154" s="14"/>
      <c r="JXK154" s="14"/>
      <c r="JXL154" s="14"/>
      <c r="JXM154" s="14"/>
      <c r="JXN154" s="14"/>
      <c r="JXO154" s="14"/>
      <c r="JXP154" s="14"/>
      <c r="JXQ154" s="14"/>
      <c r="JXR154" s="14"/>
      <c r="JXS154" s="14"/>
      <c r="JXT154" s="14"/>
      <c r="JXU154" s="14"/>
      <c r="JXV154" s="14"/>
      <c r="JXW154" s="14"/>
      <c r="JXX154" s="14"/>
      <c r="JXY154" s="14"/>
      <c r="JXZ154" s="14"/>
      <c r="JYA154" s="14"/>
      <c r="JYB154" s="14"/>
      <c r="JYC154" s="14"/>
      <c r="JYD154" s="14"/>
      <c r="JYE154" s="14"/>
      <c r="JYF154" s="14"/>
      <c r="JYG154" s="14"/>
      <c r="JYH154" s="14"/>
      <c r="JYI154" s="14"/>
      <c r="JYJ154" s="14"/>
      <c r="JYK154" s="14"/>
      <c r="JYL154" s="14"/>
      <c r="JYM154" s="14"/>
      <c r="JYN154" s="14"/>
      <c r="JYO154" s="14"/>
      <c r="JYP154" s="14"/>
      <c r="JYQ154" s="14"/>
      <c r="JYR154" s="14"/>
      <c r="JYS154" s="14"/>
      <c r="JYT154" s="14"/>
      <c r="JYU154" s="14"/>
      <c r="JYV154" s="14"/>
      <c r="JYW154" s="14"/>
      <c r="JYX154" s="14"/>
      <c r="JYY154" s="14"/>
      <c r="JYZ154" s="14"/>
      <c r="JZA154" s="14"/>
      <c r="JZB154" s="14"/>
      <c r="JZC154" s="14"/>
      <c r="JZD154" s="14"/>
      <c r="JZE154" s="14"/>
      <c r="JZF154" s="14"/>
      <c r="JZG154" s="14"/>
      <c r="JZH154" s="14"/>
      <c r="JZI154" s="14"/>
      <c r="JZJ154" s="14"/>
      <c r="JZK154" s="14"/>
      <c r="JZL154" s="14"/>
      <c r="JZM154" s="14"/>
      <c r="JZN154" s="14"/>
      <c r="JZO154" s="14"/>
      <c r="JZP154" s="14"/>
      <c r="JZQ154" s="14"/>
      <c r="JZR154" s="14"/>
      <c r="JZS154" s="14"/>
      <c r="JZT154" s="14"/>
      <c r="JZU154" s="14"/>
      <c r="JZV154" s="14"/>
      <c r="JZW154" s="14"/>
      <c r="JZX154" s="14"/>
      <c r="JZY154" s="14"/>
      <c r="JZZ154" s="14"/>
      <c r="KAA154" s="14"/>
      <c r="KAB154" s="14"/>
      <c r="KAC154" s="14"/>
      <c r="KAD154" s="14"/>
      <c r="KAE154" s="14"/>
      <c r="KAF154" s="14"/>
      <c r="KAG154" s="14"/>
      <c r="KAH154" s="14"/>
      <c r="KAI154" s="14"/>
      <c r="KAJ154" s="14"/>
      <c r="KAK154" s="14"/>
      <c r="KAL154" s="14"/>
      <c r="KAM154" s="14"/>
      <c r="KAN154" s="14"/>
      <c r="KAO154" s="14"/>
      <c r="KAP154" s="14"/>
      <c r="KAQ154" s="14"/>
      <c r="KAR154" s="14"/>
      <c r="KAS154" s="14"/>
      <c r="KAT154" s="14"/>
      <c r="KAU154" s="14"/>
      <c r="KAV154" s="14"/>
      <c r="KAW154" s="14"/>
      <c r="KAX154" s="14"/>
      <c r="KAY154" s="14"/>
      <c r="KAZ154" s="14"/>
      <c r="KBA154" s="14"/>
      <c r="KBB154" s="14"/>
      <c r="KBC154" s="14"/>
      <c r="KBD154" s="14"/>
      <c r="KBE154" s="14"/>
      <c r="KBF154" s="14"/>
      <c r="KBG154" s="14"/>
      <c r="KBH154" s="14"/>
      <c r="KBI154" s="14"/>
      <c r="KBJ154" s="14"/>
      <c r="KBK154" s="14"/>
      <c r="KBL154" s="14"/>
      <c r="KBM154" s="14"/>
      <c r="KBN154" s="14"/>
      <c r="KBO154" s="14"/>
      <c r="KBP154" s="14"/>
      <c r="KBQ154" s="14"/>
      <c r="KBR154" s="14"/>
      <c r="KBS154" s="14"/>
      <c r="KBT154" s="14"/>
      <c r="KBU154" s="14"/>
      <c r="KBV154" s="14"/>
      <c r="KBW154" s="14"/>
      <c r="KBX154" s="14"/>
      <c r="KBY154" s="14"/>
      <c r="KBZ154" s="14"/>
      <c r="KCA154" s="14"/>
      <c r="KCB154" s="14"/>
      <c r="KCC154" s="14"/>
      <c r="KCD154" s="14"/>
      <c r="KCE154" s="14"/>
      <c r="KCF154" s="14"/>
      <c r="KCG154" s="14"/>
      <c r="KCH154" s="14"/>
      <c r="KCI154" s="14"/>
      <c r="KCJ154" s="14"/>
      <c r="KCK154" s="14"/>
      <c r="KCL154" s="14"/>
      <c r="KCM154" s="14"/>
      <c r="KCN154" s="14"/>
      <c r="KCO154" s="14"/>
      <c r="KCP154" s="14"/>
      <c r="KCQ154" s="14"/>
      <c r="KCR154" s="14"/>
      <c r="KCS154" s="14"/>
      <c r="KCT154" s="14"/>
      <c r="KCU154" s="14"/>
      <c r="KCV154" s="14"/>
      <c r="KCW154" s="14"/>
      <c r="KCX154" s="14"/>
      <c r="KCY154" s="14"/>
      <c r="KCZ154" s="14"/>
      <c r="KDA154" s="14"/>
      <c r="KDB154" s="14"/>
      <c r="KDC154" s="14"/>
      <c r="KDD154" s="14"/>
      <c r="KDE154" s="14"/>
      <c r="KDF154" s="14"/>
      <c r="KDG154" s="14"/>
      <c r="KDH154" s="14"/>
      <c r="KDI154" s="14"/>
      <c r="KDJ154" s="14"/>
      <c r="KDK154" s="14"/>
      <c r="KDL154" s="14"/>
      <c r="KDM154" s="14"/>
      <c r="KDN154" s="14"/>
      <c r="KDO154" s="14"/>
      <c r="KDP154" s="14"/>
      <c r="KDQ154" s="14"/>
      <c r="KDR154" s="14"/>
      <c r="KDS154" s="14"/>
      <c r="KDT154" s="14"/>
      <c r="KDU154" s="14"/>
      <c r="KDV154" s="14"/>
      <c r="KDW154" s="14"/>
      <c r="KDX154" s="14"/>
      <c r="KDY154" s="14"/>
      <c r="KDZ154" s="14"/>
      <c r="KEA154" s="14"/>
      <c r="KEB154" s="14"/>
      <c r="KEC154" s="14"/>
      <c r="KED154" s="14"/>
      <c r="KEE154" s="14"/>
      <c r="KEF154" s="14"/>
      <c r="KEG154" s="14"/>
      <c r="KEH154" s="14"/>
      <c r="KEI154" s="14"/>
      <c r="KEJ154" s="14"/>
      <c r="KEK154" s="14"/>
      <c r="KEL154" s="14"/>
      <c r="KEM154" s="14"/>
      <c r="KEN154" s="14"/>
      <c r="KEO154" s="14"/>
      <c r="KEP154" s="14"/>
      <c r="KEQ154" s="14"/>
      <c r="KER154" s="14"/>
      <c r="KES154" s="14"/>
      <c r="KET154" s="14"/>
      <c r="KEU154" s="14"/>
      <c r="KEV154" s="14"/>
      <c r="KEW154" s="14"/>
      <c r="KEX154" s="14"/>
      <c r="KEY154" s="14"/>
      <c r="KEZ154" s="14"/>
      <c r="KFA154" s="14"/>
      <c r="KFB154" s="14"/>
      <c r="KFC154" s="14"/>
      <c r="KFD154" s="14"/>
      <c r="KFE154" s="14"/>
      <c r="KFF154" s="14"/>
      <c r="KFG154" s="14"/>
      <c r="KFH154" s="14"/>
      <c r="KFI154" s="14"/>
      <c r="KFJ154" s="14"/>
      <c r="KFK154" s="14"/>
      <c r="KFL154" s="14"/>
      <c r="KFM154" s="14"/>
      <c r="KFN154" s="14"/>
      <c r="KFO154" s="14"/>
      <c r="KFP154" s="14"/>
      <c r="KFQ154" s="14"/>
      <c r="KFR154" s="14"/>
      <c r="KFS154" s="14"/>
      <c r="KFT154" s="14"/>
      <c r="KFU154" s="14"/>
      <c r="KFV154" s="14"/>
      <c r="KFW154" s="14"/>
      <c r="KFX154" s="14"/>
      <c r="KFY154" s="14"/>
      <c r="KFZ154" s="14"/>
      <c r="KGA154" s="14"/>
      <c r="KGB154" s="14"/>
      <c r="KGC154" s="14"/>
      <c r="KGD154" s="14"/>
      <c r="KGE154" s="14"/>
      <c r="KGF154" s="14"/>
      <c r="KGG154" s="14"/>
      <c r="KGH154" s="14"/>
      <c r="KGI154" s="14"/>
      <c r="KGJ154" s="14"/>
      <c r="KGK154" s="14"/>
      <c r="KGL154" s="14"/>
      <c r="KGM154" s="14"/>
      <c r="KGN154" s="14"/>
      <c r="KGO154" s="14"/>
      <c r="KGP154" s="14"/>
      <c r="KGQ154" s="14"/>
      <c r="KGR154" s="14"/>
      <c r="KGS154" s="14"/>
      <c r="KGT154" s="14"/>
      <c r="KGU154" s="14"/>
      <c r="KGV154" s="14"/>
      <c r="KGW154" s="14"/>
      <c r="KGX154" s="14"/>
      <c r="KGY154" s="14"/>
      <c r="KGZ154" s="14"/>
      <c r="KHA154" s="14"/>
      <c r="KHB154" s="14"/>
      <c r="KHC154" s="14"/>
      <c r="KHD154" s="14"/>
      <c r="KHE154" s="14"/>
      <c r="KHF154" s="14"/>
      <c r="KHG154" s="14"/>
      <c r="KHH154" s="14"/>
      <c r="KHI154" s="14"/>
      <c r="KHJ154" s="14"/>
      <c r="KHK154" s="14"/>
      <c r="KHL154" s="14"/>
      <c r="KHM154" s="14"/>
      <c r="KHN154" s="14"/>
      <c r="KHO154" s="14"/>
      <c r="KHP154" s="14"/>
      <c r="KHQ154" s="14"/>
      <c r="KHR154" s="14"/>
      <c r="KHS154" s="14"/>
      <c r="KHT154" s="14"/>
      <c r="KHU154" s="14"/>
      <c r="KHV154" s="14"/>
      <c r="KHW154" s="14"/>
      <c r="KHX154" s="14"/>
      <c r="KHY154" s="14"/>
      <c r="KHZ154" s="14"/>
      <c r="KIA154" s="14"/>
      <c r="KIB154" s="14"/>
      <c r="KIC154" s="14"/>
      <c r="KID154" s="14"/>
      <c r="KIE154" s="14"/>
      <c r="KIF154" s="14"/>
      <c r="KIG154" s="14"/>
      <c r="KIH154" s="14"/>
      <c r="KII154" s="14"/>
      <c r="KIJ154" s="14"/>
      <c r="KIK154" s="14"/>
      <c r="KIL154" s="14"/>
      <c r="KIM154" s="14"/>
      <c r="KIN154" s="14"/>
      <c r="KIO154" s="14"/>
      <c r="KIP154" s="14"/>
      <c r="KIQ154" s="14"/>
      <c r="KIR154" s="14"/>
      <c r="KIS154" s="14"/>
      <c r="KIT154" s="14"/>
      <c r="KIU154" s="14"/>
      <c r="KIV154" s="14"/>
      <c r="KIW154" s="14"/>
      <c r="KIX154" s="14"/>
      <c r="KIY154" s="14"/>
      <c r="KIZ154" s="14"/>
      <c r="KJA154" s="14"/>
      <c r="KJB154" s="14"/>
      <c r="KJC154" s="14"/>
      <c r="KJD154" s="14"/>
      <c r="KJE154" s="14"/>
      <c r="KJF154" s="14"/>
      <c r="KJG154" s="14"/>
      <c r="KJH154" s="14"/>
      <c r="KJI154" s="14"/>
      <c r="KJJ154" s="14"/>
      <c r="KJK154" s="14"/>
      <c r="KJL154" s="14"/>
      <c r="KJM154" s="14"/>
      <c r="KJN154" s="14"/>
      <c r="KJO154" s="14"/>
      <c r="KJP154" s="14"/>
      <c r="KJQ154" s="14"/>
      <c r="KJR154" s="14"/>
      <c r="KJS154" s="14"/>
      <c r="KJT154" s="14"/>
      <c r="KJU154" s="14"/>
      <c r="KJV154" s="14"/>
      <c r="KJW154" s="14"/>
      <c r="KJX154" s="14"/>
      <c r="KJY154" s="14"/>
      <c r="KJZ154" s="14"/>
      <c r="KKA154" s="14"/>
      <c r="KKB154" s="14"/>
      <c r="KKC154" s="14"/>
      <c r="KKD154" s="14"/>
      <c r="KKE154" s="14"/>
      <c r="KKF154" s="14"/>
      <c r="KKG154" s="14"/>
      <c r="KKH154" s="14"/>
      <c r="KKI154" s="14"/>
      <c r="KKJ154" s="14"/>
      <c r="KKK154" s="14"/>
      <c r="KKL154" s="14"/>
      <c r="KKM154" s="14"/>
      <c r="KKN154" s="14"/>
      <c r="KKO154" s="14"/>
      <c r="KKP154" s="14"/>
      <c r="KKQ154" s="14"/>
      <c r="KKR154" s="14"/>
      <c r="KKS154" s="14"/>
      <c r="KKT154" s="14"/>
      <c r="KKU154" s="14"/>
      <c r="KKV154" s="14"/>
      <c r="KKW154" s="14"/>
      <c r="KKX154" s="14"/>
      <c r="KKY154" s="14"/>
      <c r="KKZ154" s="14"/>
      <c r="KLA154" s="14"/>
      <c r="KLB154" s="14"/>
      <c r="KLC154" s="14"/>
      <c r="KLD154" s="14"/>
      <c r="KLE154" s="14"/>
      <c r="KLF154" s="14"/>
      <c r="KLG154" s="14"/>
      <c r="KLH154" s="14"/>
      <c r="KLI154" s="14"/>
      <c r="KLJ154" s="14"/>
      <c r="KLK154" s="14"/>
      <c r="KLL154" s="14"/>
      <c r="KLM154" s="14"/>
      <c r="KLN154" s="14"/>
      <c r="KLO154" s="14"/>
      <c r="KLP154" s="14"/>
      <c r="KLQ154" s="14"/>
      <c r="KLR154" s="14"/>
      <c r="KLS154" s="14"/>
      <c r="KLT154" s="14"/>
      <c r="KLU154" s="14"/>
      <c r="KLV154" s="14"/>
      <c r="KLW154" s="14"/>
      <c r="KLX154" s="14"/>
      <c r="KLY154" s="14"/>
      <c r="KLZ154" s="14"/>
      <c r="KMA154" s="14"/>
      <c r="KMB154" s="14"/>
      <c r="KMC154" s="14"/>
      <c r="KMD154" s="14"/>
      <c r="KME154" s="14"/>
      <c r="KMF154" s="14"/>
      <c r="KMG154" s="14"/>
      <c r="KMH154" s="14"/>
      <c r="KMI154" s="14"/>
      <c r="KMJ154" s="14"/>
      <c r="KMK154" s="14"/>
      <c r="KML154" s="14"/>
      <c r="KMM154" s="14"/>
      <c r="KMN154" s="14"/>
      <c r="KMO154" s="14"/>
      <c r="KMP154" s="14"/>
      <c r="KMQ154" s="14"/>
      <c r="KMR154" s="14"/>
      <c r="KMS154" s="14"/>
      <c r="KMT154" s="14"/>
      <c r="KMU154" s="14"/>
      <c r="KMV154" s="14"/>
      <c r="KMW154" s="14"/>
      <c r="KMX154" s="14"/>
      <c r="KMY154" s="14"/>
      <c r="KMZ154" s="14"/>
      <c r="KNA154" s="14"/>
      <c r="KNB154" s="14"/>
      <c r="KNC154" s="14"/>
      <c r="KND154" s="14"/>
      <c r="KNE154" s="14"/>
      <c r="KNF154" s="14"/>
      <c r="KNG154" s="14"/>
      <c r="KNH154" s="14"/>
      <c r="KNI154" s="14"/>
      <c r="KNJ154" s="14"/>
      <c r="KNK154" s="14"/>
      <c r="KNL154" s="14"/>
      <c r="KNM154" s="14"/>
      <c r="KNN154" s="14"/>
      <c r="KNO154" s="14"/>
      <c r="KNP154" s="14"/>
      <c r="KNQ154" s="14"/>
      <c r="KNR154" s="14"/>
      <c r="KNS154" s="14"/>
      <c r="KNT154" s="14"/>
      <c r="KNU154" s="14"/>
      <c r="KNV154" s="14"/>
      <c r="KNW154" s="14"/>
      <c r="KNX154" s="14"/>
      <c r="KNY154" s="14"/>
      <c r="KNZ154" s="14"/>
      <c r="KOA154" s="14"/>
      <c r="KOB154" s="14"/>
      <c r="KOC154" s="14"/>
      <c r="KOD154" s="14"/>
      <c r="KOE154" s="14"/>
      <c r="KOF154" s="14"/>
      <c r="KOG154" s="14"/>
      <c r="KOH154" s="14"/>
      <c r="KOI154" s="14"/>
      <c r="KOJ154" s="14"/>
      <c r="KOK154" s="14"/>
      <c r="KOL154" s="14"/>
      <c r="KOM154" s="14"/>
      <c r="KON154" s="14"/>
      <c r="KOO154" s="14"/>
      <c r="KOP154" s="14"/>
      <c r="KOQ154" s="14"/>
      <c r="KOR154" s="14"/>
      <c r="KOS154" s="14"/>
      <c r="KOT154" s="14"/>
      <c r="KOU154" s="14"/>
      <c r="KOV154" s="14"/>
      <c r="KOW154" s="14"/>
      <c r="KOX154" s="14"/>
      <c r="KOY154" s="14"/>
      <c r="KOZ154" s="14"/>
      <c r="KPA154" s="14"/>
      <c r="KPB154" s="14"/>
      <c r="KPC154" s="14"/>
      <c r="KPD154" s="14"/>
      <c r="KPE154" s="14"/>
      <c r="KPF154" s="14"/>
      <c r="KPG154" s="14"/>
      <c r="KPH154" s="14"/>
      <c r="KPI154" s="14"/>
      <c r="KPJ154" s="14"/>
      <c r="KPK154" s="14"/>
      <c r="KPL154" s="14"/>
      <c r="KPM154" s="14"/>
      <c r="KPN154" s="14"/>
      <c r="KPO154" s="14"/>
      <c r="KPP154" s="14"/>
      <c r="KPQ154" s="14"/>
      <c r="KPR154" s="14"/>
      <c r="KPS154" s="14"/>
      <c r="KPT154" s="14"/>
      <c r="KPU154" s="14"/>
      <c r="KPV154" s="14"/>
      <c r="KPW154" s="14"/>
      <c r="KPX154" s="14"/>
      <c r="KPY154" s="14"/>
      <c r="KPZ154" s="14"/>
      <c r="KQA154" s="14"/>
      <c r="KQB154" s="14"/>
      <c r="KQC154" s="14"/>
      <c r="KQD154" s="14"/>
      <c r="KQE154" s="14"/>
      <c r="KQF154" s="14"/>
      <c r="KQG154" s="14"/>
      <c r="KQH154" s="14"/>
      <c r="KQI154" s="14"/>
      <c r="KQJ154" s="14"/>
      <c r="KQK154" s="14"/>
      <c r="KQL154" s="14"/>
      <c r="KQM154" s="14"/>
      <c r="KQN154" s="14"/>
      <c r="KQO154" s="14"/>
      <c r="KQP154" s="14"/>
      <c r="KQQ154" s="14"/>
      <c r="KQR154" s="14"/>
      <c r="KQS154" s="14"/>
      <c r="KQT154" s="14"/>
      <c r="KQU154" s="14"/>
      <c r="KQV154" s="14"/>
      <c r="KQW154" s="14"/>
      <c r="KQX154" s="14"/>
      <c r="KQY154" s="14"/>
      <c r="KQZ154" s="14"/>
      <c r="KRA154" s="14"/>
      <c r="KRB154" s="14"/>
      <c r="KRC154" s="14"/>
      <c r="KRD154" s="14"/>
      <c r="KRE154" s="14"/>
      <c r="KRF154" s="14"/>
      <c r="KRG154" s="14"/>
      <c r="KRH154" s="14"/>
      <c r="KRI154" s="14"/>
      <c r="KRJ154" s="14"/>
      <c r="KRK154" s="14"/>
      <c r="KRL154" s="14"/>
      <c r="KRM154" s="14"/>
      <c r="KRN154" s="14"/>
      <c r="KRO154" s="14"/>
      <c r="KRP154" s="14"/>
      <c r="KRQ154" s="14"/>
      <c r="KRR154" s="14"/>
      <c r="KRS154" s="14"/>
      <c r="KRT154" s="14"/>
      <c r="KRU154" s="14"/>
      <c r="KRV154" s="14"/>
      <c r="KRW154" s="14"/>
      <c r="KRX154" s="14"/>
      <c r="KRY154" s="14"/>
      <c r="KRZ154" s="14"/>
      <c r="KSA154" s="14"/>
      <c r="KSB154" s="14"/>
      <c r="KSC154" s="14"/>
      <c r="KSD154" s="14"/>
      <c r="KSE154" s="14"/>
      <c r="KSF154" s="14"/>
      <c r="KSG154" s="14"/>
      <c r="KSH154" s="14"/>
      <c r="KSI154" s="14"/>
      <c r="KSJ154" s="14"/>
      <c r="KSK154" s="14"/>
      <c r="KSL154" s="14"/>
      <c r="KSM154" s="14"/>
      <c r="KSN154" s="14"/>
      <c r="KSO154" s="14"/>
      <c r="KSP154" s="14"/>
      <c r="KSQ154" s="14"/>
      <c r="KSR154" s="14"/>
      <c r="KSS154" s="14"/>
      <c r="KST154" s="14"/>
      <c r="KSU154" s="14"/>
      <c r="KSV154" s="14"/>
      <c r="KSW154" s="14"/>
      <c r="KSX154" s="14"/>
      <c r="KSY154" s="14"/>
      <c r="KSZ154" s="14"/>
      <c r="KTA154" s="14"/>
      <c r="KTB154" s="14"/>
      <c r="KTC154" s="14"/>
      <c r="KTD154" s="14"/>
      <c r="KTE154" s="14"/>
      <c r="KTF154" s="14"/>
      <c r="KTG154" s="14"/>
      <c r="KTH154" s="14"/>
      <c r="KTI154" s="14"/>
      <c r="KTJ154" s="14"/>
      <c r="KTK154" s="14"/>
      <c r="KTL154" s="14"/>
      <c r="KTM154" s="14"/>
      <c r="KTN154" s="14"/>
      <c r="KTO154" s="14"/>
      <c r="KTP154" s="14"/>
      <c r="KTQ154" s="14"/>
      <c r="KTR154" s="14"/>
      <c r="KTS154" s="14"/>
      <c r="KTT154" s="14"/>
      <c r="KTU154" s="14"/>
      <c r="KTV154" s="14"/>
      <c r="KTW154" s="14"/>
      <c r="KTX154" s="14"/>
      <c r="KTY154" s="14"/>
      <c r="KTZ154" s="14"/>
      <c r="KUA154" s="14"/>
      <c r="KUB154" s="14"/>
      <c r="KUC154" s="14"/>
      <c r="KUD154" s="14"/>
      <c r="KUE154" s="14"/>
      <c r="KUF154" s="14"/>
      <c r="KUG154" s="14"/>
      <c r="KUH154" s="14"/>
      <c r="KUI154" s="14"/>
      <c r="KUJ154" s="14"/>
      <c r="KUK154" s="14"/>
      <c r="KUL154" s="14"/>
      <c r="KUM154" s="14"/>
      <c r="KUN154" s="14"/>
      <c r="KUO154" s="14"/>
      <c r="KUP154" s="14"/>
      <c r="KUQ154" s="14"/>
      <c r="KUR154" s="14"/>
      <c r="KUS154" s="14"/>
      <c r="KUT154" s="14"/>
      <c r="KUU154" s="14"/>
      <c r="KUV154" s="14"/>
      <c r="KUW154" s="14"/>
      <c r="KUX154" s="14"/>
      <c r="KUY154" s="14"/>
      <c r="KUZ154" s="14"/>
      <c r="KVA154" s="14"/>
      <c r="KVB154" s="14"/>
      <c r="KVC154" s="14"/>
      <c r="KVD154" s="14"/>
      <c r="KVE154" s="14"/>
      <c r="KVF154" s="14"/>
      <c r="KVG154" s="14"/>
      <c r="KVH154" s="14"/>
      <c r="KVI154" s="14"/>
      <c r="KVJ154" s="14"/>
      <c r="KVK154" s="14"/>
      <c r="KVL154" s="14"/>
      <c r="KVM154" s="14"/>
      <c r="KVN154" s="14"/>
      <c r="KVO154" s="14"/>
      <c r="KVP154" s="14"/>
      <c r="KVQ154" s="14"/>
      <c r="KVR154" s="14"/>
      <c r="KVS154" s="14"/>
      <c r="KVT154" s="14"/>
      <c r="KVU154" s="14"/>
      <c r="KVV154" s="14"/>
      <c r="KVW154" s="14"/>
      <c r="KVX154" s="14"/>
      <c r="KVY154" s="14"/>
      <c r="KVZ154" s="14"/>
      <c r="KWA154" s="14"/>
      <c r="KWB154" s="14"/>
      <c r="KWC154" s="14"/>
      <c r="KWD154" s="14"/>
      <c r="KWE154" s="14"/>
      <c r="KWF154" s="14"/>
      <c r="KWG154" s="14"/>
      <c r="KWH154" s="14"/>
      <c r="KWI154" s="14"/>
      <c r="KWJ154" s="14"/>
      <c r="KWK154" s="14"/>
      <c r="KWL154" s="14"/>
      <c r="KWM154" s="14"/>
      <c r="KWN154" s="14"/>
      <c r="KWO154" s="14"/>
      <c r="KWP154" s="14"/>
      <c r="KWQ154" s="14"/>
      <c r="KWR154" s="14"/>
      <c r="KWS154" s="14"/>
      <c r="KWT154" s="14"/>
      <c r="KWU154" s="14"/>
      <c r="KWV154" s="14"/>
      <c r="KWW154" s="14"/>
      <c r="KWX154" s="14"/>
      <c r="KWY154" s="14"/>
      <c r="KWZ154" s="14"/>
      <c r="KXA154" s="14"/>
      <c r="KXB154" s="14"/>
      <c r="KXC154" s="14"/>
      <c r="KXD154" s="14"/>
      <c r="KXE154" s="14"/>
      <c r="KXF154" s="14"/>
      <c r="KXG154" s="14"/>
      <c r="KXH154" s="14"/>
      <c r="KXI154" s="14"/>
      <c r="KXJ154" s="14"/>
      <c r="KXK154" s="14"/>
      <c r="KXL154" s="14"/>
      <c r="KXM154" s="14"/>
      <c r="KXN154" s="14"/>
      <c r="KXO154" s="14"/>
      <c r="KXP154" s="14"/>
      <c r="KXQ154" s="14"/>
      <c r="KXR154" s="14"/>
      <c r="KXS154" s="14"/>
      <c r="KXT154" s="14"/>
      <c r="KXU154" s="14"/>
      <c r="KXV154" s="14"/>
      <c r="KXW154" s="14"/>
      <c r="KXX154" s="14"/>
      <c r="KXY154" s="14"/>
      <c r="KXZ154" s="14"/>
      <c r="KYA154" s="14"/>
      <c r="KYB154" s="14"/>
      <c r="KYC154" s="14"/>
      <c r="KYD154" s="14"/>
      <c r="KYE154" s="14"/>
      <c r="KYF154" s="14"/>
      <c r="KYG154" s="14"/>
      <c r="KYH154" s="14"/>
      <c r="KYI154" s="14"/>
      <c r="KYJ154" s="14"/>
      <c r="KYK154" s="14"/>
      <c r="KYL154" s="14"/>
      <c r="KYM154" s="14"/>
      <c r="KYN154" s="14"/>
      <c r="KYO154" s="14"/>
      <c r="KYP154" s="14"/>
      <c r="KYQ154" s="14"/>
      <c r="KYR154" s="14"/>
      <c r="KYS154" s="14"/>
      <c r="KYT154" s="14"/>
      <c r="KYU154" s="14"/>
      <c r="KYV154" s="14"/>
      <c r="KYW154" s="14"/>
      <c r="KYX154" s="14"/>
      <c r="KYY154" s="14"/>
      <c r="KYZ154" s="14"/>
      <c r="KZA154" s="14"/>
      <c r="KZB154" s="14"/>
      <c r="KZC154" s="14"/>
      <c r="KZD154" s="14"/>
      <c r="KZE154" s="14"/>
      <c r="KZF154" s="14"/>
      <c r="KZG154" s="14"/>
      <c r="KZH154" s="14"/>
      <c r="KZI154" s="14"/>
      <c r="KZJ154" s="14"/>
      <c r="KZK154" s="14"/>
      <c r="KZL154" s="14"/>
      <c r="KZM154" s="14"/>
      <c r="KZN154" s="14"/>
      <c r="KZO154" s="14"/>
      <c r="KZP154" s="14"/>
      <c r="KZQ154" s="14"/>
      <c r="KZR154" s="14"/>
      <c r="KZS154" s="14"/>
      <c r="KZT154" s="14"/>
      <c r="KZU154" s="14"/>
      <c r="KZV154" s="14"/>
      <c r="KZW154" s="14"/>
      <c r="KZX154" s="14"/>
      <c r="KZY154" s="14"/>
      <c r="KZZ154" s="14"/>
      <c r="LAA154" s="14"/>
      <c r="LAB154" s="14"/>
      <c r="LAC154" s="14"/>
      <c r="LAD154" s="14"/>
      <c r="LAE154" s="14"/>
      <c r="LAF154" s="14"/>
      <c r="LAG154" s="14"/>
      <c r="LAH154" s="14"/>
      <c r="LAI154" s="14"/>
      <c r="LAJ154" s="14"/>
      <c r="LAK154" s="14"/>
      <c r="LAL154" s="14"/>
      <c r="LAM154" s="14"/>
      <c r="LAN154" s="14"/>
      <c r="LAO154" s="14"/>
      <c r="LAP154" s="14"/>
      <c r="LAQ154" s="14"/>
      <c r="LAR154" s="14"/>
      <c r="LAS154" s="14"/>
      <c r="LAT154" s="14"/>
      <c r="LAU154" s="14"/>
      <c r="LAV154" s="14"/>
      <c r="LAW154" s="14"/>
      <c r="LAX154" s="14"/>
      <c r="LAY154" s="14"/>
      <c r="LAZ154" s="14"/>
      <c r="LBA154" s="14"/>
      <c r="LBB154" s="14"/>
      <c r="LBC154" s="14"/>
      <c r="LBD154" s="14"/>
      <c r="LBE154" s="14"/>
      <c r="LBF154" s="14"/>
      <c r="LBG154" s="14"/>
      <c r="LBH154" s="14"/>
      <c r="LBI154" s="14"/>
      <c r="LBJ154" s="14"/>
      <c r="LBK154" s="14"/>
      <c r="LBL154" s="14"/>
      <c r="LBM154" s="14"/>
      <c r="LBN154" s="14"/>
      <c r="LBO154" s="14"/>
      <c r="LBP154" s="14"/>
      <c r="LBQ154" s="14"/>
      <c r="LBR154" s="14"/>
      <c r="LBS154" s="14"/>
      <c r="LBT154" s="14"/>
      <c r="LBU154" s="14"/>
      <c r="LBV154" s="14"/>
      <c r="LBW154" s="14"/>
      <c r="LBX154" s="14"/>
      <c r="LBY154" s="14"/>
      <c r="LBZ154" s="14"/>
      <c r="LCA154" s="14"/>
      <c r="LCB154" s="14"/>
      <c r="LCC154" s="14"/>
      <c r="LCD154" s="14"/>
      <c r="LCE154" s="14"/>
      <c r="LCF154" s="14"/>
      <c r="LCG154" s="14"/>
      <c r="LCH154" s="14"/>
      <c r="LCI154" s="14"/>
      <c r="LCJ154" s="14"/>
      <c r="LCK154" s="14"/>
      <c r="LCL154" s="14"/>
      <c r="LCM154" s="14"/>
      <c r="LCN154" s="14"/>
      <c r="LCO154" s="14"/>
      <c r="LCP154" s="14"/>
      <c r="LCQ154" s="14"/>
      <c r="LCR154" s="14"/>
      <c r="LCS154" s="14"/>
      <c r="LCT154" s="14"/>
      <c r="LCU154" s="14"/>
      <c r="LCV154" s="14"/>
      <c r="LCW154" s="14"/>
      <c r="LCX154" s="14"/>
      <c r="LCY154" s="14"/>
      <c r="LCZ154" s="14"/>
      <c r="LDA154" s="14"/>
      <c r="LDB154" s="14"/>
      <c r="LDC154" s="14"/>
      <c r="LDD154" s="14"/>
      <c r="LDE154" s="14"/>
      <c r="LDF154" s="14"/>
      <c r="LDG154" s="14"/>
      <c r="LDH154" s="14"/>
      <c r="LDI154" s="14"/>
      <c r="LDJ154" s="14"/>
      <c r="LDK154" s="14"/>
      <c r="LDL154" s="14"/>
      <c r="LDM154" s="14"/>
      <c r="LDN154" s="14"/>
      <c r="LDO154" s="14"/>
      <c r="LDP154" s="14"/>
      <c r="LDQ154" s="14"/>
      <c r="LDR154" s="14"/>
      <c r="LDS154" s="14"/>
      <c r="LDT154" s="14"/>
      <c r="LDU154" s="14"/>
      <c r="LDV154" s="14"/>
      <c r="LDW154" s="14"/>
      <c r="LDX154" s="14"/>
      <c r="LDY154" s="14"/>
      <c r="LDZ154" s="14"/>
      <c r="LEA154" s="14"/>
      <c r="LEB154" s="14"/>
      <c r="LEC154" s="14"/>
      <c r="LED154" s="14"/>
      <c r="LEE154" s="14"/>
      <c r="LEF154" s="14"/>
      <c r="LEG154" s="14"/>
      <c r="LEH154" s="14"/>
      <c r="LEI154" s="14"/>
      <c r="LEJ154" s="14"/>
      <c r="LEK154" s="14"/>
      <c r="LEL154" s="14"/>
      <c r="LEM154" s="14"/>
      <c r="LEN154" s="14"/>
      <c r="LEO154" s="14"/>
      <c r="LEP154" s="14"/>
      <c r="LEQ154" s="14"/>
      <c r="LER154" s="14"/>
      <c r="LES154" s="14"/>
      <c r="LET154" s="14"/>
      <c r="LEU154" s="14"/>
      <c r="LEV154" s="14"/>
      <c r="LEW154" s="14"/>
      <c r="LEX154" s="14"/>
      <c r="LEY154" s="14"/>
      <c r="LEZ154" s="14"/>
      <c r="LFA154" s="14"/>
      <c r="LFB154" s="14"/>
      <c r="LFC154" s="14"/>
      <c r="LFD154" s="14"/>
      <c r="LFE154" s="14"/>
      <c r="LFF154" s="14"/>
      <c r="LFG154" s="14"/>
      <c r="LFH154" s="14"/>
      <c r="LFI154" s="14"/>
      <c r="LFJ154" s="14"/>
      <c r="LFK154" s="14"/>
      <c r="LFL154" s="14"/>
      <c r="LFM154" s="14"/>
      <c r="LFN154" s="14"/>
      <c r="LFO154" s="14"/>
      <c r="LFP154" s="14"/>
      <c r="LFQ154" s="14"/>
      <c r="LFR154" s="14"/>
      <c r="LFS154" s="14"/>
      <c r="LFT154" s="14"/>
      <c r="LFU154" s="14"/>
      <c r="LFV154" s="14"/>
      <c r="LFW154" s="14"/>
      <c r="LFX154" s="14"/>
      <c r="LFY154" s="14"/>
      <c r="LFZ154" s="14"/>
      <c r="LGA154" s="14"/>
      <c r="LGB154" s="14"/>
      <c r="LGC154" s="14"/>
      <c r="LGD154" s="14"/>
      <c r="LGE154" s="14"/>
      <c r="LGF154" s="14"/>
      <c r="LGG154" s="14"/>
      <c r="LGH154" s="14"/>
      <c r="LGI154" s="14"/>
      <c r="LGJ154" s="14"/>
      <c r="LGK154" s="14"/>
      <c r="LGL154" s="14"/>
      <c r="LGM154" s="14"/>
      <c r="LGN154" s="14"/>
      <c r="LGO154" s="14"/>
      <c r="LGP154" s="14"/>
      <c r="LGQ154" s="14"/>
      <c r="LGR154" s="14"/>
      <c r="LGS154" s="14"/>
      <c r="LGT154" s="14"/>
      <c r="LGU154" s="14"/>
      <c r="LGV154" s="14"/>
      <c r="LGW154" s="14"/>
      <c r="LGX154" s="14"/>
      <c r="LGY154" s="14"/>
      <c r="LGZ154" s="14"/>
      <c r="LHA154" s="14"/>
      <c r="LHB154" s="14"/>
      <c r="LHC154" s="14"/>
      <c r="LHD154" s="14"/>
      <c r="LHE154" s="14"/>
      <c r="LHF154" s="14"/>
      <c r="LHG154" s="14"/>
      <c r="LHH154" s="14"/>
      <c r="LHI154" s="14"/>
      <c r="LHJ154" s="14"/>
      <c r="LHK154" s="14"/>
      <c r="LHL154" s="14"/>
      <c r="LHM154" s="14"/>
      <c r="LHN154" s="14"/>
      <c r="LHO154" s="14"/>
      <c r="LHP154" s="14"/>
      <c r="LHQ154" s="14"/>
      <c r="LHR154" s="14"/>
      <c r="LHS154" s="14"/>
      <c r="LHT154" s="14"/>
      <c r="LHU154" s="14"/>
      <c r="LHV154" s="14"/>
      <c r="LHW154" s="14"/>
      <c r="LHX154" s="14"/>
      <c r="LHY154" s="14"/>
      <c r="LHZ154" s="14"/>
      <c r="LIA154" s="14"/>
      <c r="LIB154" s="14"/>
      <c r="LIC154" s="14"/>
      <c r="LID154" s="14"/>
      <c r="LIE154" s="14"/>
      <c r="LIF154" s="14"/>
      <c r="LIG154" s="14"/>
      <c r="LIH154" s="14"/>
      <c r="LII154" s="14"/>
      <c r="LIJ154" s="14"/>
      <c r="LIK154" s="14"/>
      <c r="LIL154" s="14"/>
      <c r="LIM154" s="14"/>
      <c r="LIN154" s="14"/>
      <c r="LIO154" s="14"/>
      <c r="LIP154" s="14"/>
      <c r="LIQ154" s="14"/>
      <c r="LIR154" s="14"/>
      <c r="LIS154" s="14"/>
      <c r="LIT154" s="14"/>
      <c r="LIU154" s="14"/>
      <c r="LIV154" s="14"/>
      <c r="LIW154" s="14"/>
      <c r="LIX154" s="14"/>
      <c r="LIY154" s="14"/>
      <c r="LIZ154" s="14"/>
      <c r="LJA154" s="14"/>
      <c r="LJB154" s="14"/>
      <c r="LJC154" s="14"/>
      <c r="LJD154" s="14"/>
      <c r="LJE154" s="14"/>
      <c r="LJF154" s="14"/>
      <c r="LJG154" s="14"/>
      <c r="LJH154" s="14"/>
      <c r="LJI154" s="14"/>
      <c r="LJJ154" s="14"/>
      <c r="LJK154" s="14"/>
      <c r="LJL154" s="14"/>
      <c r="LJM154" s="14"/>
      <c r="LJN154" s="14"/>
      <c r="LJO154" s="14"/>
      <c r="LJP154" s="14"/>
      <c r="LJQ154" s="14"/>
      <c r="LJR154" s="14"/>
      <c r="LJS154" s="14"/>
      <c r="LJT154" s="14"/>
      <c r="LJU154" s="14"/>
      <c r="LJV154" s="14"/>
      <c r="LJW154" s="14"/>
      <c r="LJX154" s="14"/>
      <c r="LJY154" s="14"/>
      <c r="LJZ154" s="14"/>
      <c r="LKA154" s="14"/>
      <c r="LKB154" s="14"/>
      <c r="LKC154" s="14"/>
      <c r="LKD154" s="14"/>
      <c r="LKE154" s="14"/>
      <c r="LKF154" s="14"/>
      <c r="LKG154" s="14"/>
      <c r="LKH154" s="14"/>
      <c r="LKI154" s="14"/>
      <c r="LKJ154" s="14"/>
      <c r="LKK154" s="14"/>
      <c r="LKL154" s="14"/>
      <c r="LKM154" s="14"/>
      <c r="LKN154" s="14"/>
      <c r="LKO154" s="14"/>
      <c r="LKP154" s="14"/>
      <c r="LKQ154" s="14"/>
      <c r="LKR154" s="14"/>
      <c r="LKS154" s="14"/>
      <c r="LKT154" s="14"/>
      <c r="LKU154" s="14"/>
      <c r="LKV154" s="14"/>
      <c r="LKW154" s="14"/>
      <c r="LKX154" s="14"/>
      <c r="LKY154" s="14"/>
      <c r="LKZ154" s="14"/>
      <c r="LLA154" s="14"/>
      <c r="LLB154" s="14"/>
      <c r="LLC154" s="14"/>
      <c r="LLD154" s="14"/>
      <c r="LLE154" s="14"/>
      <c r="LLF154" s="14"/>
      <c r="LLG154" s="14"/>
      <c r="LLH154" s="14"/>
      <c r="LLI154" s="14"/>
      <c r="LLJ154" s="14"/>
      <c r="LLK154" s="14"/>
      <c r="LLL154" s="14"/>
      <c r="LLM154" s="14"/>
      <c r="LLN154" s="14"/>
      <c r="LLO154" s="14"/>
      <c r="LLP154" s="14"/>
      <c r="LLQ154" s="14"/>
      <c r="LLR154" s="14"/>
      <c r="LLS154" s="14"/>
      <c r="LLT154" s="14"/>
      <c r="LLU154" s="14"/>
      <c r="LLV154" s="14"/>
      <c r="LLW154" s="14"/>
      <c r="LLX154" s="14"/>
      <c r="LLY154" s="14"/>
      <c r="LLZ154" s="14"/>
      <c r="LMA154" s="14"/>
      <c r="LMB154" s="14"/>
      <c r="LMC154" s="14"/>
      <c r="LMD154" s="14"/>
      <c r="LME154" s="14"/>
      <c r="LMF154" s="14"/>
      <c r="LMG154" s="14"/>
      <c r="LMH154" s="14"/>
      <c r="LMI154" s="14"/>
      <c r="LMJ154" s="14"/>
      <c r="LMK154" s="14"/>
      <c r="LML154" s="14"/>
      <c r="LMM154" s="14"/>
      <c r="LMN154" s="14"/>
      <c r="LMO154" s="14"/>
      <c r="LMP154" s="14"/>
      <c r="LMQ154" s="14"/>
      <c r="LMR154" s="14"/>
      <c r="LMS154" s="14"/>
      <c r="LMT154" s="14"/>
      <c r="LMU154" s="14"/>
      <c r="LMV154" s="14"/>
      <c r="LMW154" s="14"/>
      <c r="LMX154" s="14"/>
      <c r="LMY154" s="14"/>
      <c r="LMZ154" s="14"/>
      <c r="LNA154" s="14"/>
      <c r="LNB154" s="14"/>
      <c r="LNC154" s="14"/>
      <c r="LND154" s="14"/>
      <c r="LNE154" s="14"/>
      <c r="LNF154" s="14"/>
      <c r="LNG154" s="14"/>
      <c r="LNH154" s="14"/>
      <c r="LNI154" s="14"/>
      <c r="LNJ154" s="14"/>
      <c r="LNK154" s="14"/>
      <c r="LNL154" s="14"/>
      <c r="LNM154" s="14"/>
      <c r="LNN154" s="14"/>
      <c r="LNO154" s="14"/>
      <c r="LNP154" s="14"/>
      <c r="LNQ154" s="14"/>
      <c r="LNR154" s="14"/>
      <c r="LNS154" s="14"/>
      <c r="LNT154" s="14"/>
      <c r="LNU154" s="14"/>
      <c r="LNV154" s="14"/>
      <c r="LNW154" s="14"/>
      <c r="LNX154" s="14"/>
      <c r="LNY154" s="14"/>
      <c r="LNZ154" s="14"/>
      <c r="LOA154" s="14"/>
      <c r="LOB154" s="14"/>
      <c r="LOC154" s="14"/>
      <c r="LOD154" s="14"/>
      <c r="LOE154" s="14"/>
      <c r="LOF154" s="14"/>
      <c r="LOG154" s="14"/>
      <c r="LOH154" s="14"/>
      <c r="LOI154" s="14"/>
      <c r="LOJ154" s="14"/>
      <c r="LOK154" s="14"/>
      <c r="LOL154" s="14"/>
      <c r="LOM154" s="14"/>
      <c r="LON154" s="14"/>
      <c r="LOO154" s="14"/>
      <c r="LOP154" s="14"/>
      <c r="LOQ154" s="14"/>
      <c r="LOR154" s="14"/>
      <c r="LOS154" s="14"/>
      <c r="LOT154" s="14"/>
      <c r="LOU154" s="14"/>
      <c r="LOV154" s="14"/>
      <c r="LOW154" s="14"/>
      <c r="LOX154" s="14"/>
      <c r="LOY154" s="14"/>
      <c r="LOZ154" s="14"/>
      <c r="LPA154" s="14"/>
      <c r="LPB154" s="14"/>
      <c r="LPC154" s="14"/>
      <c r="LPD154" s="14"/>
      <c r="LPE154" s="14"/>
      <c r="LPF154" s="14"/>
      <c r="LPG154" s="14"/>
      <c r="LPH154" s="14"/>
      <c r="LPI154" s="14"/>
      <c r="LPJ154" s="14"/>
      <c r="LPK154" s="14"/>
      <c r="LPL154" s="14"/>
      <c r="LPM154" s="14"/>
      <c r="LPN154" s="14"/>
      <c r="LPO154" s="14"/>
      <c r="LPP154" s="14"/>
      <c r="LPQ154" s="14"/>
      <c r="LPR154" s="14"/>
      <c r="LPS154" s="14"/>
      <c r="LPT154" s="14"/>
      <c r="LPU154" s="14"/>
      <c r="LPV154" s="14"/>
      <c r="LPW154" s="14"/>
      <c r="LPX154" s="14"/>
      <c r="LPY154" s="14"/>
      <c r="LPZ154" s="14"/>
      <c r="LQA154" s="14"/>
      <c r="LQB154" s="14"/>
      <c r="LQC154" s="14"/>
      <c r="LQD154" s="14"/>
      <c r="LQE154" s="14"/>
      <c r="LQF154" s="14"/>
      <c r="LQG154" s="14"/>
      <c r="LQH154" s="14"/>
      <c r="LQI154" s="14"/>
      <c r="LQJ154" s="14"/>
      <c r="LQK154" s="14"/>
      <c r="LQL154" s="14"/>
      <c r="LQM154" s="14"/>
      <c r="LQN154" s="14"/>
      <c r="LQO154" s="14"/>
      <c r="LQP154" s="14"/>
      <c r="LQQ154" s="14"/>
      <c r="LQR154" s="14"/>
      <c r="LQS154" s="14"/>
      <c r="LQT154" s="14"/>
      <c r="LQU154" s="14"/>
      <c r="LQV154" s="14"/>
      <c r="LQW154" s="14"/>
      <c r="LQX154" s="14"/>
      <c r="LQY154" s="14"/>
      <c r="LQZ154" s="14"/>
      <c r="LRA154" s="14"/>
      <c r="LRB154" s="14"/>
      <c r="LRC154" s="14"/>
      <c r="LRD154" s="14"/>
      <c r="LRE154" s="14"/>
      <c r="LRF154" s="14"/>
      <c r="LRG154" s="14"/>
      <c r="LRH154" s="14"/>
      <c r="LRI154" s="14"/>
      <c r="LRJ154" s="14"/>
      <c r="LRK154" s="14"/>
      <c r="LRL154" s="14"/>
      <c r="LRM154" s="14"/>
      <c r="LRN154" s="14"/>
      <c r="LRO154" s="14"/>
      <c r="LRP154" s="14"/>
      <c r="LRQ154" s="14"/>
      <c r="LRR154" s="14"/>
      <c r="LRS154" s="14"/>
      <c r="LRT154" s="14"/>
      <c r="LRU154" s="14"/>
      <c r="LRV154" s="14"/>
      <c r="LRW154" s="14"/>
      <c r="LRX154" s="14"/>
      <c r="LRY154" s="14"/>
      <c r="LRZ154" s="14"/>
      <c r="LSA154" s="14"/>
      <c r="LSB154" s="14"/>
      <c r="LSC154" s="14"/>
      <c r="LSD154" s="14"/>
      <c r="LSE154" s="14"/>
      <c r="LSF154" s="14"/>
      <c r="LSG154" s="14"/>
      <c r="LSH154" s="14"/>
      <c r="LSI154" s="14"/>
      <c r="LSJ154" s="14"/>
      <c r="LSK154" s="14"/>
      <c r="LSL154" s="14"/>
      <c r="LSM154" s="14"/>
      <c r="LSN154" s="14"/>
      <c r="LSO154" s="14"/>
      <c r="LSP154" s="14"/>
      <c r="LSQ154" s="14"/>
      <c r="LSR154" s="14"/>
      <c r="LSS154" s="14"/>
      <c r="LST154" s="14"/>
      <c r="LSU154" s="14"/>
      <c r="LSV154" s="14"/>
      <c r="LSW154" s="14"/>
      <c r="LSX154" s="14"/>
      <c r="LSY154" s="14"/>
      <c r="LSZ154" s="14"/>
      <c r="LTA154" s="14"/>
      <c r="LTB154" s="14"/>
      <c r="LTC154" s="14"/>
      <c r="LTD154" s="14"/>
      <c r="LTE154" s="14"/>
      <c r="LTF154" s="14"/>
      <c r="LTG154" s="14"/>
      <c r="LTH154" s="14"/>
      <c r="LTI154" s="14"/>
      <c r="LTJ154" s="14"/>
      <c r="LTK154" s="14"/>
      <c r="LTL154" s="14"/>
      <c r="LTM154" s="14"/>
      <c r="LTN154" s="14"/>
      <c r="LTO154" s="14"/>
      <c r="LTP154" s="14"/>
      <c r="LTQ154" s="14"/>
      <c r="LTR154" s="14"/>
      <c r="LTS154" s="14"/>
      <c r="LTT154" s="14"/>
      <c r="LTU154" s="14"/>
      <c r="LTV154" s="14"/>
      <c r="LTW154" s="14"/>
      <c r="LTX154" s="14"/>
      <c r="LTY154" s="14"/>
      <c r="LTZ154" s="14"/>
      <c r="LUA154" s="14"/>
      <c r="LUB154" s="14"/>
      <c r="LUC154" s="14"/>
      <c r="LUD154" s="14"/>
      <c r="LUE154" s="14"/>
      <c r="LUF154" s="14"/>
      <c r="LUG154" s="14"/>
      <c r="LUH154" s="14"/>
      <c r="LUI154" s="14"/>
      <c r="LUJ154" s="14"/>
      <c r="LUK154" s="14"/>
      <c r="LUL154" s="14"/>
      <c r="LUM154" s="14"/>
      <c r="LUN154" s="14"/>
      <c r="LUO154" s="14"/>
      <c r="LUP154" s="14"/>
      <c r="LUQ154" s="14"/>
      <c r="LUR154" s="14"/>
      <c r="LUS154" s="14"/>
      <c r="LUT154" s="14"/>
      <c r="LUU154" s="14"/>
      <c r="LUV154" s="14"/>
      <c r="LUW154" s="14"/>
      <c r="LUX154" s="14"/>
      <c r="LUY154" s="14"/>
      <c r="LUZ154" s="14"/>
      <c r="LVA154" s="14"/>
      <c r="LVB154" s="14"/>
      <c r="LVC154" s="14"/>
      <c r="LVD154" s="14"/>
      <c r="LVE154" s="14"/>
      <c r="LVF154" s="14"/>
      <c r="LVG154" s="14"/>
      <c r="LVH154" s="14"/>
      <c r="LVI154" s="14"/>
      <c r="LVJ154" s="14"/>
      <c r="LVK154" s="14"/>
      <c r="LVL154" s="14"/>
      <c r="LVM154" s="14"/>
      <c r="LVN154" s="14"/>
      <c r="LVO154" s="14"/>
      <c r="LVP154" s="14"/>
      <c r="LVQ154" s="14"/>
      <c r="LVR154" s="14"/>
      <c r="LVS154" s="14"/>
      <c r="LVT154" s="14"/>
      <c r="LVU154" s="14"/>
      <c r="LVV154" s="14"/>
      <c r="LVW154" s="14"/>
      <c r="LVX154" s="14"/>
      <c r="LVY154" s="14"/>
      <c r="LVZ154" s="14"/>
      <c r="LWA154" s="14"/>
      <c r="LWB154" s="14"/>
      <c r="LWC154" s="14"/>
      <c r="LWD154" s="14"/>
      <c r="LWE154" s="14"/>
      <c r="LWF154" s="14"/>
      <c r="LWG154" s="14"/>
      <c r="LWH154" s="14"/>
      <c r="LWI154" s="14"/>
      <c r="LWJ154" s="14"/>
      <c r="LWK154" s="14"/>
      <c r="LWL154" s="14"/>
      <c r="LWM154" s="14"/>
      <c r="LWN154" s="14"/>
      <c r="LWO154" s="14"/>
      <c r="LWP154" s="14"/>
      <c r="LWQ154" s="14"/>
      <c r="LWR154" s="14"/>
      <c r="LWS154" s="14"/>
      <c r="LWT154" s="14"/>
      <c r="LWU154" s="14"/>
      <c r="LWV154" s="14"/>
      <c r="LWW154" s="14"/>
      <c r="LWX154" s="14"/>
      <c r="LWY154" s="14"/>
      <c r="LWZ154" s="14"/>
      <c r="LXA154" s="14"/>
      <c r="LXB154" s="14"/>
      <c r="LXC154" s="14"/>
      <c r="LXD154" s="14"/>
      <c r="LXE154" s="14"/>
      <c r="LXF154" s="14"/>
      <c r="LXG154" s="14"/>
      <c r="LXH154" s="14"/>
      <c r="LXI154" s="14"/>
      <c r="LXJ154" s="14"/>
      <c r="LXK154" s="14"/>
      <c r="LXL154" s="14"/>
      <c r="LXM154" s="14"/>
      <c r="LXN154" s="14"/>
      <c r="LXO154" s="14"/>
      <c r="LXP154" s="14"/>
      <c r="LXQ154" s="14"/>
      <c r="LXR154" s="14"/>
      <c r="LXS154" s="14"/>
      <c r="LXT154" s="14"/>
      <c r="LXU154" s="14"/>
      <c r="LXV154" s="14"/>
      <c r="LXW154" s="14"/>
      <c r="LXX154" s="14"/>
      <c r="LXY154" s="14"/>
      <c r="LXZ154" s="14"/>
      <c r="LYA154" s="14"/>
      <c r="LYB154" s="14"/>
      <c r="LYC154" s="14"/>
      <c r="LYD154" s="14"/>
      <c r="LYE154" s="14"/>
      <c r="LYF154" s="14"/>
      <c r="LYG154" s="14"/>
      <c r="LYH154" s="14"/>
      <c r="LYI154" s="14"/>
      <c r="LYJ154" s="14"/>
      <c r="LYK154" s="14"/>
      <c r="LYL154" s="14"/>
      <c r="LYM154" s="14"/>
      <c r="LYN154" s="14"/>
      <c r="LYO154" s="14"/>
      <c r="LYP154" s="14"/>
      <c r="LYQ154" s="14"/>
      <c r="LYR154" s="14"/>
      <c r="LYS154" s="14"/>
      <c r="LYT154" s="14"/>
      <c r="LYU154" s="14"/>
      <c r="LYV154" s="14"/>
      <c r="LYW154" s="14"/>
      <c r="LYX154" s="14"/>
      <c r="LYY154" s="14"/>
      <c r="LYZ154" s="14"/>
      <c r="LZA154" s="14"/>
      <c r="LZB154" s="14"/>
      <c r="LZC154" s="14"/>
      <c r="LZD154" s="14"/>
      <c r="LZE154" s="14"/>
      <c r="LZF154" s="14"/>
      <c r="LZG154" s="14"/>
      <c r="LZH154" s="14"/>
      <c r="LZI154" s="14"/>
      <c r="LZJ154" s="14"/>
      <c r="LZK154" s="14"/>
      <c r="LZL154" s="14"/>
      <c r="LZM154" s="14"/>
      <c r="LZN154" s="14"/>
      <c r="LZO154" s="14"/>
      <c r="LZP154" s="14"/>
      <c r="LZQ154" s="14"/>
      <c r="LZR154" s="14"/>
      <c r="LZS154" s="14"/>
      <c r="LZT154" s="14"/>
      <c r="LZU154" s="14"/>
      <c r="LZV154" s="14"/>
      <c r="LZW154" s="14"/>
      <c r="LZX154" s="14"/>
      <c r="LZY154" s="14"/>
      <c r="LZZ154" s="14"/>
      <c r="MAA154" s="14"/>
      <c r="MAB154" s="14"/>
      <c r="MAC154" s="14"/>
      <c r="MAD154" s="14"/>
      <c r="MAE154" s="14"/>
      <c r="MAF154" s="14"/>
      <c r="MAG154" s="14"/>
      <c r="MAH154" s="14"/>
      <c r="MAI154" s="14"/>
      <c r="MAJ154" s="14"/>
      <c r="MAK154" s="14"/>
      <c r="MAL154" s="14"/>
      <c r="MAM154" s="14"/>
      <c r="MAN154" s="14"/>
      <c r="MAO154" s="14"/>
      <c r="MAP154" s="14"/>
      <c r="MAQ154" s="14"/>
      <c r="MAR154" s="14"/>
      <c r="MAS154" s="14"/>
      <c r="MAT154" s="14"/>
      <c r="MAU154" s="14"/>
      <c r="MAV154" s="14"/>
      <c r="MAW154" s="14"/>
      <c r="MAX154" s="14"/>
      <c r="MAY154" s="14"/>
      <c r="MAZ154" s="14"/>
      <c r="MBA154" s="14"/>
      <c r="MBB154" s="14"/>
      <c r="MBC154" s="14"/>
      <c r="MBD154" s="14"/>
      <c r="MBE154" s="14"/>
      <c r="MBF154" s="14"/>
      <c r="MBG154" s="14"/>
      <c r="MBH154" s="14"/>
      <c r="MBI154" s="14"/>
      <c r="MBJ154" s="14"/>
      <c r="MBK154" s="14"/>
      <c r="MBL154" s="14"/>
      <c r="MBM154" s="14"/>
      <c r="MBN154" s="14"/>
      <c r="MBO154" s="14"/>
      <c r="MBP154" s="14"/>
      <c r="MBQ154" s="14"/>
      <c r="MBR154" s="14"/>
      <c r="MBS154" s="14"/>
      <c r="MBT154" s="14"/>
      <c r="MBU154" s="14"/>
      <c r="MBV154" s="14"/>
      <c r="MBW154" s="14"/>
      <c r="MBX154" s="14"/>
      <c r="MBY154" s="14"/>
      <c r="MBZ154" s="14"/>
      <c r="MCA154" s="14"/>
      <c r="MCB154" s="14"/>
      <c r="MCC154" s="14"/>
      <c r="MCD154" s="14"/>
      <c r="MCE154" s="14"/>
      <c r="MCF154" s="14"/>
      <c r="MCG154" s="14"/>
      <c r="MCH154" s="14"/>
      <c r="MCI154" s="14"/>
      <c r="MCJ154" s="14"/>
      <c r="MCK154" s="14"/>
      <c r="MCL154" s="14"/>
      <c r="MCM154" s="14"/>
      <c r="MCN154" s="14"/>
      <c r="MCO154" s="14"/>
      <c r="MCP154" s="14"/>
      <c r="MCQ154" s="14"/>
      <c r="MCR154" s="14"/>
      <c r="MCS154" s="14"/>
      <c r="MCT154" s="14"/>
      <c r="MCU154" s="14"/>
      <c r="MCV154" s="14"/>
      <c r="MCW154" s="14"/>
      <c r="MCX154" s="14"/>
      <c r="MCY154" s="14"/>
      <c r="MCZ154" s="14"/>
      <c r="MDA154" s="14"/>
      <c r="MDB154" s="14"/>
      <c r="MDC154" s="14"/>
      <c r="MDD154" s="14"/>
      <c r="MDE154" s="14"/>
      <c r="MDF154" s="14"/>
      <c r="MDG154" s="14"/>
      <c r="MDH154" s="14"/>
      <c r="MDI154" s="14"/>
      <c r="MDJ154" s="14"/>
      <c r="MDK154" s="14"/>
      <c r="MDL154" s="14"/>
      <c r="MDM154" s="14"/>
      <c r="MDN154" s="14"/>
      <c r="MDO154" s="14"/>
      <c r="MDP154" s="14"/>
      <c r="MDQ154" s="14"/>
      <c r="MDR154" s="14"/>
      <c r="MDS154" s="14"/>
      <c r="MDT154" s="14"/>
      <c r="MDU154" s="14"/>
      <c r="MDV154" s="14"/>
      <c r="MDW154" s="14"/>
      <c r="MDX154" s="14"/>
      <c r="MDY154" s="14"/>
      <c r="MDZ154" s="14"/>
      <c r="MEA154" s="14"/>
      <c r="MEB154" s="14"/>
      <c r="MEC154" s="14"/>
      <c r="MED154" s="14"/>
      <c r="MEE154" s="14"/>
      <c r="MEF154" s="14"/>
      <c r="MEG154" s="14"/>
      <c r="MEH154" s="14"/>
      <c r="MEI154" s="14"/>
      <c r="MEJ154" s="14"/>
      <c r="MEK154" s="14"/>
      <c r="MEL154" s="14"/>
      <c r="MEM154" s="14"/>
      <c r="MEN154" s="14"/>
      <c r="MEO154" s="14"/>
      <c r="MEP154" s="14"/>
      <c r="MEQ154" s="14"/>
      <c r="MER154" s="14"/>
      <c r="MES154" s="14"/>
      <c r="MET154" s="14"/>
      <c r="MEU154" s="14"/>
      <c r="MEV154" s="14"/>
      <c r="MEW154" s="14"/>
      <c r="MEX154" s="14"/>
      <c r="MEY154" s="14"/>
      <c r="MEZ154" s="14"/>
      <c r="MFA154" s="14"/>
      <c r="MFB154" s="14"/>
      <c r="MFC154" s="14"/>
      <c r="MFD154" s="14"/>
      <c r="MFE154" s="14"/>
      <c r="MFF154" s="14"/>
      <c r="MFG154" s="14"/>
      <c r="MFH154" s="14"/>
      <c r="MFI154" s="14"/>
      <c r="MFJ154" s="14"/>
      <c r="MFK154" s="14"/>
      <c r="MFL154" s="14"/>
      <c r="MFM154" s="14"/>
      <c r="MFN154" s="14"/>
      <c r="MFO154" s="14"/>
      <c r="MFP154" s="14"/>
      <c r="MFQ154" s="14"/>
      <c r="MFR154" s="14"/>
      <c r="MFS154" s="14"/>
      <c r="MFT154" s="14"/>
      <c r="MFU154" s="14"/>
      <c r="MFV154" s="14"/>
      <c r="MFW154" s="14"/>
      <c r="MFX154" s="14"/>
      <c r="MFY154" s="14"/>
      <c r="MFZ154" s="14"/>
      <c r="MGA154" s="14"/>
      <c r="MGB154" s="14"/>
      <c r="MGC154" s="14"/>
      <c r="MGD154" s="14"/>
      <c r="MGE154" s="14"/>
      <c r="MGF154" s="14"/>
      <c r="MGG154" s="14"/>
      <c r="MGH154" s="14"/>
      <c r="MGI154" s="14"/>
      <c r="MGJ154" s="14"/>
      <c r="MGK154" s="14"/>
      <c r="MGL154" s="14"/>
      <c r="MGM154" s="14"/>
      <c r="MGN154" s="14"/>
      <c r="MGO154" s="14"/>
      <c r="MGP154" s="14"/>
      <c r="MGQ154" s="14"/>
      <c r="MGR154" s="14"/>
      <c r="MGS154" s="14"/>
      <c r="MGT154" s="14"/>
      <c r="MGU154" s="14"/>
      <c r="MGV154" s="14"/>
      <c r="MGW154" s="14"/>
      <c r="MGX154" s="14"/>
      <c r="MGY154" s="14"/>
      <c r="MGZ154" s="14"/>
      <c r="MHA154" s="14"/>
      <c r="MHB154" s="14"/>
      <c r="MHC154" s="14"/>
      <c r="MHD154" s="14"/>
      <c r="MHE154" s="14"/>
      <c r="MHF154" s="14"/>
      <c r="MHG154" s="14"/>
      <c r="MHH154" s="14"/>
      <c r="MHI154" s="14"/>
      <c r="MHJ154" s="14"/>
      <c r="MHK154" s="14"/>
      <c r="MHL154" s="14"/>
      <c r="MHM154" s="14"/>
      <c r="MHN154" s="14"/>
      <c r="MHO154" s="14"/>
      <c r="MHP154" s="14"/>
      <c r="MHQ154" s="14"/>
      <c r="MHR154" s="14"/>
      <c r="MHS154" s="14"/>
      <c r="MHT154" s="14"/>
      <c r="MHU154" s="14"/>
      <c r="MHV154" s="14"/>
      <c r="MHW154" s="14"/>
      <c r="MHX154" s="14"/>
      <c r="MHY154" s="14"/>
      <c r="MHZ154" s="14"/>
      <c r="MIA154" s="14"/>
      <c r="MIB154" s="14"/>
      <c r="MIC154" s="14"/>
      <c r="MID154" s="14"/>
      <c r="MIE154" s="14"/>
      <c r="MIF154" s="14"/>
      <c r="MIG154" s="14"/>
      <c r="MIH154" s="14"/>
      <c r="MII154" s="14"/>
      <c r="MIJ154" s="14"/>
      <c r="MIK154" s="14"/>
      <c r="MIL154" s="14"/>
      <c r="MIM154" s="14"/>
      <c r="MIN154" s="14"/>
      <c r="MIO154" s="14"/>
      <c r="MIP154" s="14"/>
      <c r="MIQ154" s="14"/>
      <c r="MIR154" s="14"/>
      <c r="MIS154" s="14"/>
      <c r="MIT154" s="14"/>
      <c r="MIU154" s="14"/>
      <c r="MIV154" s="14"/>
      <c r="MIW154" s="14"/>
      <c r="MIX154" s="14"/>
      <c r="MIY154" s="14"/>
      <c r="MIZ154" s="14"/>
      <c r="MJA154" s="14"/>
      <c r="MJB154" s="14"/>
      <c r="MJC154" s="14"/>
      <c r="MJD154" s="14"/>
      <c r="MJE154" s="14"/>
      <c r="MJF154" s="14"/>
      <c r="MJG154" s="14"/>
      <c r="MJH154" s="14"/>
      <c r="MJI154" s="14"/>
      <c r="MJJ154" s="14"/>
      <c r="MJK154" s="14"/>
      <c r="MJL154" s="14"/>
      <c r="MJM154" s="14"/>
      <c r="MJN154" s="14"/>
      <c r="MJO154" s="14"/>
      <c r="MJP154" s="14"/>
      <c r="MJQ154" s="14"/>
      <c r="MJR154" s="14"/>
      <c r="MJS154" s="14"/>
      <c r="MJT154" s="14"/>
      <c r="MJU154" s="14"/>
      <c r="MJV154" s="14"/>
      <c r="MJW154" s="14"/>
      <c r="MJX154" s="14"/>
      <c r="MJY154" s="14"/>
      <c r="MJZ154" s="14"/>
      <c r="MKA154" s="14"/>
      <c r="MKB154" s="14"/>
      <c r="MKC154" s="14"/>
      <c r="MKD154" s="14"/>
      <c r="MKE154" s="14"/>
      <c r="MKF154" s="14"/>
      <c r="MKG154" s="14"/>
      <c r="MKH154" s="14"/>
      <c r="MKI154" s="14"/>
      <c r="MKJ154" s="14"/>
      <c r="MKK154" s="14"/>
      <c r="MKL154" s="14"/>
      <c r="MKM154" s="14"/>
      <c r="MKN154" s="14"/>
      <c r="MKO154" s="14"/>
      <c r="MKP154" s="14"/>
      <c r="MKQ154" s="14"/>
      <c r="MKR154" s="14"/>
      <c r="MKS154" s="14"/>
      <c r="MKT154" s="14"/>
      <c r="MKU154" s="14"/>
      <c r="MKV154" s="14"/>
      <c r="MKW154" s="14"/>
      <c r="MKX154" s="14"/>
      <c r="MKY154" s="14"/>
      <c r="MKZ154" s="14"/>
      <c r="MLA154" s="14"/>
      <c r="MLB154" s="14"/>
      <c r="MLC154" s="14"/>
      <c r="MLD154" s="14"/>
      <c r="MLE154" s="14"/>
      <c r="MLF154" s="14"/>
      <c r="MLG154" s="14"/>
      <c r="MLH154" s="14"/>
      <c r="MLI154" s="14"/>
      <c r="MLJ154" s="14"/>
      <c r="MLK154" s="14"/>
      <c r="MLL154" s="14"/>
      <c r="MLM154" s="14"/>
      <c r="MLN154" s="14"/>
      <c r="MLO154" s="14"/>
      <c r="MLP154" s="14"/>
      <c r="MLQ154" s="14"/>
      <c r="MLR154" s="14"/>
      <c r="MLS154" s="14"/>
      <c r="MLT154" s="14"/>
      <c r="MLU154" s="14"/>
      <c r="MLV154" s="14"/>
      <c r="MLW154" s="14"/>
      <c r="MLX154" s="14"/>
      <c r="MLY154" s="14"/>
      <c r="MLZ154" s="14"/>
      <c r="MMA154" s="14"/>
      <c r="MMB154" s="14"/>
      <c r="MMC154" s="14"/>
      <c r="MMD154" s="14"/>
      <c r="MME154" s="14"/>
      <c r="MMF154" s="14"/>
      <c r="MMG154" s="14"/>
      <c r="MMH154" s="14"/>
      <c r="MMI154" s="14"/>
      <c r="MMJ154" s="14"/>
      <c r="MMK154" s="14"/>
      <c r="MML154" s="14"/>
      <c r="MMM154" s="14"/>
      <c r="MMN154" s="14"/>
      <c r="MMO154" s="14"/>
      <c r="MMP154" s="14"/>
      <c r="MMQ154" s="14"/>
      <c r="MMR154" s="14"/>
      <c r="MMS154" s="14"/>
      <c r="MMT154" s="14"/>
      <c r="MMU154" s="14"/>
      <c r="MMV154" s="14"/>
      <c r="MMW154" s="14"/>
      <c r="MMX154" s="14"/>
      <c r="MMY154" s="14"/>
      <c r="MMZ154" s="14"/>
      <c r="MNA154" s="14"/>
      <c r="MNB154" s="14"/>
      <c r="MNC154" s="14"/>
      <c r="MND154" s="14"/>
      <c r="MNE154" s="14"/>
      <c r="MNF154" s="14"/>
      <c r="MNG154" s="14"/>
      <c r="MNH154" s="14"/>
      <c r="MNI154" s="14"/>
      <c r="MNJ154" s="14"/>
      <c r="MNK154" s="14"/>
      <c r="MNL154" s="14"/>
      <c r="MNM154" s="14"/>
      <c r="MNN154" s="14"/>
      <c r="MNO154" s="14"/>
      <c r="MNP154" s="14"/>
      <c r="MNQ154" s="14"/>
      <c r="MNR154" s="14"/>
      <c r="MNS154" s="14"/>
      <c r="MNT154" s="14"/>
      <c r="MNU154" s="14"/>
      <c r="MNV154" s="14"/>
      <c r="MNW154" s="14"/>
      <c r="MNX154" s="14"/>
      <c r="MNY154" s="14"/>
      <c r="MNZ154" s="14"/>
      <c r="MOA154" s="14"/>
      <c r="MOB154" s="14"/>
      <c r="MOC154" s="14"/>
      <c r="MOD154" s="14"/>
      <c r="MOE154" s="14"/>
      <c r="MOF154" s="14"/>
      <c r="MOG154" s="14"/>
      <c r="MOH154" s="14"/>
      <c r="MOI154" s="14"/>
      <c r="MOJ154" s="14"/>
      <c r="MOK154" s="14"/>
      <c r="MOL154" s="14"/>
      <c r="MOM154" s="14"/>
      <c r="MON154" s="14"/>
      <c r="MOO154" s="14"/>
      <c r="MOP154" s="14"/>
      <c r="MOQ154" s="14"/>
      <c r="MOR154" s="14"/>
      <c r="MOS154" s="14"/>
      <c r="MOT154" s="14"/>
      <c r="MOU154" s="14"/>
      <c r="MOV154" s="14"/>
      <c r="MOW154" s="14"/>
      <c r="MOX154" s="14"/>
      <c r="MOY154" s="14"/>
      <c r="MOZ154" s="14"/>
      <c r="MPA154" s="14"/>
      <c r="MPB154" s="14"/>
      <c r="MPC154" s="14"/>
      <c r="MPD154" s="14"/>
      <c r="MPE154" s="14"/>
      <c r="MPF154" s="14"/>
      <c r="MPG154" s="14"/>
      <c r="MPH154" s="14"/>
      <c r="MPI154" s="14"/>
      <c r="MPJ154" s="14"/>
      <c r="MPK154" s="14"/>
      <c r="MPL154" s="14"/>
      <c r="MPM154" s="14"/>
      <c r="MPN154" s="14"/>
      <c r="MPO154" s="14"/>
      <c r="MPP154" s="14"/>
      <c r="MPQ154" s="14"/>
      <c r="MPR154" s="14"/>
      <c r="MPS154" s="14"/>
      <c r="MPT154" s="14"/>
      <c r="MPU154" s="14"/>
      <c r="MPV154" s="14"/>
      <c r="MPW154" s="14"/>
      <c r="MPX154" s="14"/>
      <c r="MPY154" s="14"/>
      <c r="MPZ154" s="14"/>
      <c r="MQA154" s="14"/>
      <c r="MQB154" s="14"/>
      <c r="MQC154" s="14"/>
      <c r="MQD154" s="14"/>
      <c r="MQE154" s="14"/>
      <c r="MQF154" s="14"/>
      <c r="MQG154" s="14"/>
      <c r="MQH154" s="14"/>
      <c r="MQI154" s="14"/>
      <c r="MQJ154" s="14"/>
      <c r="MQK154" s="14"/>
      <c r="MQL154" s="14"/>
      <c r="MQM154" s="14"/>
      <c r="MQN154" s="14"/>
      <c r="MQO154" s="14"/>
      <c r="MQP154" s="14"/>
      <c r="MQQ154" s="14"/>
      <c r="MQR154" s="14"/>
      <c r="MQS154" s="14"/>
      <c r="MQT154" s="14"/>
      <c r="MQU154" s="14"/>
      <c r="MQV154" s="14"/>
      <c r="MQW154" s="14"/>
      <c r="MQX154" s="14"/>
      <c r="MQY154" s="14"/>
      <c r="MQZ154" s="14"/>
      <c r="MRA154" s="14"/>
      <c r="MRB154" s="14"/>
      <c r="MRC154" s="14"/>
      <c r="MRD154" s="14"/>
      <c r="MRE154" s="14"/>
      <c r="MRF154" s="14"/>
      <c r="MRG154" s="14"/>
      <c r="MRH154" s="14"/>
      <c r="MRI154" s="14"/>
      <c r="MRJ154" s="14"/>
      <c r="MRK154" s="14"/>
      <c r="MRL154" s="14"/>
      <c r="MRM154" s="14"/>
      <c r="MRN154" s="14"/>
      <c r="MRO154" s="14"/>
      <c r="MRP154" s="14"/>
      <c r="MRQ154" s="14"/>
      <c r="MRR154" s="14"/>
      <c r="MRS154" s="14"/>
      <c r="MRT154" s="14"/>
      <c r="MRU154" s="14"/>
      <c r="MRV154" s="14"/>
      <c r="MRW154" s="14"/>
      <c r="MRX154" s="14"/>
      <c r="MRY154" s="14"/>
      <c r="MRZ154" s="14"/>
      <c r="MSA154" s="14"/>
      <c r="MSB154" s="14"/>
      <c r="MSC154" s="14"/>
      <c r="MSD154" s="14"/>
      <c r="MSE154" s="14"/>
      <c r="MSF154" s="14"/>
      <c r="MSG154" s="14"/>
      <c r="MSH154" s="14"/>
      <c r="MSI154" s="14"/>
      <c r="MSJ154" s="14"/>
      <c r="MSK154" s="14"/>
      <c r="MSL154" s="14"/>
      <c r="MSM154" s="14"/>
      <c r="MSN154" s="14"/>
      <c r="MSO154" s="14"/>
      <c r="MSP154" s="14"/>
      <c r="MSQ154" s="14"/>
      <c r="MSR154" s="14"/>
      <c r="MSS154" s="14"/>
      <c r="MST154" s="14"/>
      <c r="MSU154" s="14"/>
      <c r="MSV154" s="14"/>
      <c r="MSW154" s="14"/>
      <c r="MSX154" s="14"/>
      <c r="MSY154" s="14"/>
      <c r="MSZ154" s="14"/>
      <c r="MTA154" s="14"/>
      <c r="MTB154" s="14"/>
      <c r="MTC154" s="14"/>
      <c r="MTD154" s="14"/>
      <c r="MTE154" s="14"/>
      <c r="MTF154" s="14"/>
      <c r="MTG154" s="14"/>
      <c r="MTH154" s="14"/>
      <c r="MTI154" s="14"/>
      <c r="MTJ154" s="14"/>
      <c r="MTK154" s="14"/>
      <c r="MTL154" s="14"/>
      <c r="MTM154" s="14"/>
      <c r="MTN154" s="14"/>
      <c r="MTO154" s="14"/>
      <c r="MTP154" s="14"/>
      <c r="MTQ154" s="14"/>
      <c r="MTR154" s="14"/>
      <c r="MTS154" s="14"/>
      <c r="MTT154" s="14"/>
      <c r="MTU154" s="14"/>
      <c r="MTV154" s="14"/>
      <c r="MTW154" s="14"/>
      <c r="MTX154" s="14"/>
      <c r="MTY154" s="14"/>
      <c r="MTZ154" s="14"/>
      <c r="MUA154" s="14"/>
      <c r="MUB154" s="14"/>
      <c r="MUC154" s="14"/>
      <c r="MUD154" s="14"/>
      <c r="MUE154" s="14"/>
      <c r="MUF154" s="14"/>
      <c r="MUG154" s="14"/>
      <c r="MUH154" s="14"/>
      <c r="MUI154" s="14"/>
      <c r="MUJ154" s="14"/>
      <c r="MUK154" s="14"/>
      <c r="MUL154" s="14"/>
      <c r="MUM154" s="14"/>
      <c r="MUN154" s="14"/>
      <c r="MUO154" s="14"/>
      <c r="MUP154" s="14"/>
      <c r="MUQ154" s="14"/>
      <c r="MUR154" s="14"/>
      <c r="MUS154" s="14"/>
      <c r="MUT154" s="14"/>
      <c r="MUU154" s="14"/>
      <c r="MUV154" s="14"/>
      <c r="MUW154" s="14"/>
      <c r="MUX154" s="14"/>
      <c r="MUY154" s="14"/>
      <c r="MUZ154" s="14"/>
      <c r="MVA154" s="14"/>
      <c r="MVB154" s="14"/>
      <c r="MVC154" s="14"/>
      <c r="MVD154" s="14"/>
      <c r="MVE154" s="14"/>
      <c r="MVF154" s="14"/>
      <c r="MVG154" s="14"/>
      <c r="MVH154" s="14"/>
      <c r="MVI154" s="14"/>
      <c r="MVJ154" s="14"/>
      <c r="MVK154" s="14"/>
      <c r="MVL154" s="14"/>
      <c r="MVM154" s="14"/>
      <c r="MVN154" s="14"/>
      <c r="MVO154" s="14"/>
      <c r="MVP154" s="14"/>
      <c r="MVQ154" s="14"/>
      <c r="MVR154" s="14"/>
      <c r="MVS154" s="14"/>
      <c r="MVT154" s="14"/>
      <c r="MVU154" s="14"/>
      <c r="MVV154" s="14"/>
      <c r="MVW154" s="14"/>
      <c r="MVX154" s="14"/>
      <c r="MVY154" s="14"/>
      <c r="MVZ154" s="14"/>
      <c r="MWA154" s="14"/>
      <c r="MWB154" s="14"/>
      <c r="MWC154" s="14"/>
      <c r="MWD154" s="14"/>
      <c r="MWE154" s="14"/>
      <c r="MWF154" s="14"/>
      <c r="MWG154" s="14"/>
      <c r="MWH154" s="14"/>
      <c r="MWI154" s="14"/>
      <c r="MWJ154" s="14"/>
      <c r="MWK154" s="14"/>
      <c r="MWL154" s="14"/>
      <c r="MWM154" s="14"/>
      <c r="MWN154" s="14"/>
      <c r="MWO154" s="14"/>
      <c r="MWP154" s="14"/>
      <c r="MWQ154" s="14"/>
      <c r="MWR154" s="14"/>
      <c r="MWS154" s="14"/>
      <c r="MWT154" s="14"/>
      <c r="MWU154" s="14"/>
      <c r="MWV154" s="14"/>
      <c r="MWW154" s="14"/>
      <c r="MWX154" s="14"/>
      <c r="MWY154" s="14"/>
      <c r="MWZ154" s="14"/>
      <c r="MXA154" s="14"/>
      <c r="MXB154" s="14"/>
      <c r="MXC154" s="14"/>
      <c r="MXD154" s="14"/>
      <c r="MXE154" s="14"/>
      <c r="MXF154" s="14"/>
      <c r="MXG154" s="14"/>
      <c r="MXH154" s="14"/>
      <c r="MXI154" s="14"/>
      <c r="MXJ154" s="14"/>
      <c r="MXK154" s="14"/>
      <c r="MXL154" s="14"/>
      <c r="MXM154" s="14"/>
      <c r="MXN154" s="14"/>
      <c r="MXO154" s="14"/>
      <c r="MXP154" s="14"/>
      <c r="MXQ154" s="14"/>
      <c r="MXR154" s="14"/>
      <c r="MXS154" s="14"/>
      <c r="MXT154" s="14"/>
      <c r="MXU154" s="14"/>
      <c r="MXV154" s="14"/>
      <c r="MXW154" s="14"/>
      <c r="MXX154" s="14"/>
      <c r="MXY154" s="14"/>
      <c r="MXZ154" s="14"/>
      <c r="MYA154" s="14"/>
      <c r="MYB154" s="14"/>
      <c r="MYC154" s="14"/>
      <c r="MYD154" s="14"/>
      <c r="MYE154" s="14"/>
      <c r="MYF154" s="14"/>
      <c r="MYG154" s="14"/>
      <c r="MYH154" s="14"/>
      <c r="MYI154" s="14"/>
      <c r="MYJ154" s="14"/>
      <c r="MYK154" s="14"/>
      <c r="MYL154" s="14"/>
      <c r="MYM154" s="14"/>
      <c r="MYN154" s="14"/>
      <c r="MYO154" s="14"/>
      <c r="MYP154" s="14"/>
      <c r="MYQ154" s="14"/>
      <c r="MYR154" s="14"/>
      <c r="MYS154" s="14"/>
      <c r="MYT154" s="14"/>
      <c r="MYU154" s="14"/>
      <c r="MYV154" s="14"/>
      <c r="MYW154" s="14"/>
      <c r="MYX154" s="14"/>
      <c r="MYY154" s="14"/>
      <c r="MYZ154" s="14"/>
      <c r="MZA154" s="14"/>
      <c r="MZB154" s="14"/>
      <c r="MZC154" s="14"/>
      <c r="MZD154" s="14"/>
      <c r="MZE154" s="14"/>
      <c r="MZF154" s="14"/>
      <c r="MZG154" s="14"/>
      <c r="MZH154" s="14"/>
      <c r="MZI154" s="14"/>
      <c r="MZJ154" s="14"/>
      <c r="MZK154" s="14"/>
      <c r="MZL154" s="14"/>
      <c r="MZM154" s="14"/>
      <c r="MZN154" s="14"/>
      <c r="MZO154" s="14"/>
      <c r="MZP154" s="14"/>
      <c r="MZQ154" s="14"/>
      <c r="MZR154" s="14"/>
      <c r="MZS154" s="14"/>
      <c r="MZT154" s="14"/>
      <c r="MZU154" s="14"/>
      <c r="MZV154" s="14"/>
      <c r="MZW154" s="14"/>
      <c r="MZX154" s="14"/>
      <c r="MZY154" s="14"/>
      <c r="MZZ154" s="14"/>
      <c r="NAA154" s="14"/>
      <c r="NAB154" s="14"/>
      <c r="NAC154" s="14"/>
      <c r="NAD154" s="14"/>
      <c r="NAE154" s="14"/>
      <c r="NAF154" s="14"/>
      <c r="NAG154" s="14"/>
      <c r="NAH154" s="14"/>
      <c r="NAI154" s="14"/>
      <c r="NAJ154" s="14"/>
      <c r="NAK154" s="14"/>
      <c r="NAL154" s="14"/>
      <c r="NAM154" s="14"/>
      <c r="NAN154" s="14"/>
      <c r="NAO154" s="14"/>
      <c r="NAP154" s="14"/>
      <c r="NAQ154" s="14"/>
      <c r="NAR154" s="14"/>
      <c r="NAS154" s="14"/>
      <c r="NAT154" s="14"/>
      <c r="NAU154" s="14"/>
      <c r="NAV154" s="14"/>
      <c r="NAW154" s="14"/>
      <c r="NAX154" s="14"/>
      <c r="NAY154" s="14"/>
      <c r="NAZ154" s="14"/>
      <c r="NBA154" s="14"/>
      <c r="NBB154" s="14"/>
      <c r="NBC154" s="14"/>
      <c r="NBD154" s="14"/>
      <c r="NBE154" s="14"/>
      <c r="NBF154" s="14"/>
      <c r="NBG154" s="14"/>
      <c r="NBH154" s="14"/>
      <c r="NBI154" s="14"/>
      <c r="NBJ154" s="14"/>
      <c r="NBK154" s="14"/>
      <c r="NBL154" s="14"/>
      <c r="NBM154" s="14"/>
      <c r="NBN154" s="14"/>
      <c r="NBO154" s="14"/>
      <c r="NBP154" s="14"/>
      <c r="NBQ154" s="14"/>
      <c r="NBR154" s="14"/>
      <c r="NBS154" s="14"/>
      <c r="NBT154" s="14"/>
      <c r="NBU154" s="14"/>
      <c r="NBV154" s="14"/>
      <c r="NBW154" s="14"/>
      <c r="NBX154" s="14"/>
      <c r="NBY154" s="14"/>
      <c r="NBZ154" s="14"/>
      <c r="NCA154" s="14"/>
      <c r="NCB154" s="14"/>
      <c r="NCC154" s="14"/>
      <c r="NCD154" s="14"/>
      <c r="NCE154" s="14"/>
      <c r="NCF154" s="14"/>
      <c r="NCG154" s="14"/>
      <c r="NCH154" s="14"/>
      <c r="NCI154" s="14"/>
      <c r="NCJ154" s="14"/>
      <c r="NCK154" s="14"/>
      <c r="NCL154" s="14"/>
      <c r="NCM154" s="14"/>
      <c r="NCN154" s="14"/>
      <c r="NCO154" s="14"/>
      <c r="NCP154" s="14"/>
      <c r="NCQ154" s="14"/>
      <c r="NCR154" s="14"/>
      <c r="NCS154" s="14"/>
      <c r="NCT154" s="14"/>
      <c r="NCU154" s="14"/>
      <c r="NCV154" s="14"/>
      <c r="NCW154" s="14"/>
      <c r="NCX154" s="14"/>
      <c r="NCY154" s="14"/>
      <c r="NCZ154" s="14"/>
      <c r="NDA154" s="14"/>
      <c r="NDB154" s="14"/>
      <c r="NDC154" s="14"/>
      <c r="NDD154" s="14"/>
      <c r="NDE154" s="14"/>
      <c r="NDF154" s="14"/>
      <c r="NDG154" s="14"/>
      <c r="NDH154" s="14"/>
      <c r="NDI154" s="14"/>
      <c r="NDJ154" s="14"/>
      <c r="NDK154" s="14"/>
      <c r="NDL154" s="14"/>
      <c r="NDM154" s="14"/>
      <c r="NDN154" s="14"/>
      <c r="NDO154" s="14"/>
      <c r="NDP154" s="14"/>
      <c r="NDQ154" s="14"/>
      <c r="NDR154" s="14"/>
      <c r="NDS154" s="14"/>
      <c r="NDT154" s="14"/>
      <c r="NDU154" s="14"/>
      <c r="NDV154" s="14"/>
      <c r="NDW154" s="14"/>
      <c r="NDX154" s="14"/>
      <c r="NDY154" s="14"/>
      <c r="NDZ154" s="14"/>
      <c r="NEA154" s="14"/>
      <c r="NEB154" s="14"/>
      <c r="NEC154" s="14"/>
      <c r="NED154" s="14"/>
      <c r="NEE154" s="14"/>
      <c r="NEF154" s="14"/>
      <c r="NEG154" s="14"/>
      <c r="NEH154" s="14"/>
      <c r="NEI154" s="14"/>
      <c r="NEJ154" s="14"/>
      <c r="NEK154" s="14"/>
      <c r="NEL154" s="14"/>
      <c r="NEM154" s="14"/>
      <c r="NEN154" s="14"/>
      <c r="NEO154" s="14"/>
      <c r="NEP154" s="14"/>
      <c r="NEQ154" s="14"/>
      <c r="NER154" s="14"/>
      <c r="NES154" s="14"/>
      <c r="NET154" s="14"/>
      <c r="NEU154" s="14"/>
      <c r="NEV154" s="14"/>
      <c r="NEW154" s="14"/>
      <c r="NEX154" s="14"/>
      <c r="NEY154" s="14"/>
      <c r="NEZ154" s="14"/>
      <c r="NFA154" s="14"/>
      <c r="NFB154" s="14"/>
      <c r="NFC154" s="14"/>
      <c r="NFD154" s="14"/>
      <c r="NFE154" s="14"/>
      <c r="NFF154" s="14"/>
      <c r="NFG154" s="14"/>
      <c r="NFH154" s="14"/>
      <c r="NFI154" s="14"/>
      <c r="NFJ154" s="14"/>
      <c r="NFK154" s="14"/>
      <c r="NFL154" s="14"/>
      <c r="NFM154" s="14"/>
      <c r="NFN154" s="14"/>
      <c r="NFO154" s="14"/>
      <c r="NFP154" s="14"/>
      <c r="NFQ154" s="14"/>
      <c r="NFR154" s="14"/>
      <c r="NFS154" s="14"/>
      <c r="NFT154" s="14"/>
      <c r="NFU154" s="14"/>
      <c r="NFV154" s="14"/>
      <c r="NFW154" s="14"/>
      <c r="NFX154" s="14"/>
      <c r="NFY154" s="14"/>
      <c r="NFZ154" s="14"/>
      <c r="NGA154" s="14"/>
      <c r="NGB154" s="14"/>
      <c r="NGC154" s="14"/>
      <c r="NGD154" s="14"/>
      <c r="NGE154" s="14"/>
      <c r="NGF154" s="14"/>
      <c r="NGG154" s="14"/>
      <c r="NGH154" s="14"/>
      <c r="NGI154" s="14"/>
      <c r="NGJ154" s="14"/>
      <c r="NGK154" s="14"/>
      <c r="NGL154" s="14"/>
      <c r="NGM154" s="14"/>
      <c r="NGN154" s="14"/>
      <c r="NGO154" s="14"/>
      <c r="NGP154" s="14"/>
      <c r="NGQ154" s="14"/>
      <c r="NGR154" s="14"/>
      <c r="NGS154" s="14"/>
      <c r="NGT154" s="14"/>
      <c r="NGU154" s="14"/>
      <c r="NGV154" s="14"/>
      <c r="NGW154" s="14"/>
      <c r="NGX154" s="14"/>
      <c r="NGY154" s="14"/>
      <c r="NGZ154" s="14"/>
      <c r="NHA154" s="14"/>
      <c r="NHB154" s="14"/>
      <c r="NHC154" s="14"/>
      <c r="NHD154" s="14"/>
      <c r="NHE154" s="14"/>
      <c r="NHF154" s="14"/>
      <c r="NHG154" s="14"/>
      <c r="NHH154" s="14"/>
      <c r="NHI154" s="14"/>
      <c r="NHJ154" s="14"/>
      <c r="NHK154" s="14"/>
      <c r="NHL154" s="14"/>
      <c r="NHM154" s="14"/>
      <c r="NHN154" s="14"/>
      <c r="NHO154" s="14"/>
      <c r="NHP154" s="14"/>
      <c r="NHQ154" s="14"/>
      <c r="NHR154" s="14"/>
      <c r="NHS154" s="14"/>
      <c r="NHT154" s="14"/>
      <c r="NHU154" s="14"/>
      <c r="NHV154" s="14"/>
      <c r="NHW154" s="14"/>
      <c r="NHX154" s="14"/>
      <c r="NHY154" s="14"/>
      <c r="NHZ154" s="14"/>
      <c r="NIA154" s="14"/>
      <c r="NIB154" s="14"/>
      <c r="NIC154" s="14"/>
      <c r="NID154" s="14"/>
      <c r="NIE154" s="14"/>
      <c r="NIF154" s="14"/>
      <c r="NIG154" s="14"/>
      <c r="NIH154" s="14"/>
      <c r="NII154" s="14"/>
      <c r="NIJ154" s="14"/>
      <c r="NIK154" s="14"/>
      <c r="NIL154" s="14"/>
      <c r="NIM154" s="14"/>
      <c r="NIN154" s="14"/>
      <c r="NIO154" s="14"/>
      <c r="NIP154" s="14"/>
      <c r="NIQ154" s="14"/>
      <c r="NIR154" s="14"/>
      <c r="NIS154" s="14"/>
      <c r="NIT154" s="14"/>
      <c r="NIU154" s="14"/>
      <c r="NIV154" s="14"/>
      <c r="NIW154" s="14"/>
      <c r="NIX154" s="14"/>
      <c r="NIY154" s="14"/>
      <c r="NIZ154" s="14"/>
      <c r="NJA154" s="14"/>
      <c r="NJB154" s="14"/>
      <c r="NJC154" s="14"/>
      <c r="NJD154" s="14"/>
      <c r="NJE154" s="14"/>
      <c r="NJF154" s="14"/>
      <c r="NJG154" s="14"/>
      <c r="NJH154" s="14"/>
      <c r="NJI154" s="14"/>
      <c r="NJJ154" s="14"/>
      <c r="NJK154" s="14"/>
      <c r="NJL154" s="14"/>
      <c r="NJM154" s="14"/>
      <c r="NJN154" s="14"/>
      <c r="NJO154" s="14"/>
      <c r="NJP154" s="14"/>
      <c r="NJQ154" s="14"/>
      <c r="NJR154" s="14"/>
      <c r="NJS154" s="14"/>
      <c r="NJT154" s="14"/>
      <c r="NJU154" s="14"/>
      <c r="NJV154" s="14"/>
      <c r="NJW154" s="14"/>
      <c r="NJX154" s="14"/>
      <c r="NJY154" s="14"/>
      <c r="NJZ154" s="14"/>
      <c r="NKA154" s="14"/>
      <c r="NKB154" s="14"/>
      <c r="NKC154" s="14"/>
      <c r="NKD154" s="14"/>
      <c r="NKE154" s="14"/>
      <c r="NKF154" s="14"/>
      <c r="NKG154" s="14"/>
      <c r="NKH154" s="14"/>
      <c r="NKI154" s="14"/>
      <c r="NKJ154" s="14"/>
      <c r="NKK154" s="14"/>
      <c r="NKL154" s="14"/>
      <c r="NKM154" s="14"/>
      <c r="NKN154" s="14"/>
      <c r="NKO154" s="14"/>
      <c r="NKP154" s="14"/>
      <c r="NKQ154" s="14"/>
      <c r="NKR154" s="14"/>
      <c r="NKS154" s="14"/>
      <c r="NKT154" s="14"/>
      <c r="NKU154" s="14"/>
      <c r="NKV154" s="14"/>
      <c r="NKW154" s="14"/>
      <c r="NKX154" s="14"/>
      <c r="NKY154" s="14"/>
      <c r="NKZ154" s="14"/>
      <c r="NLA154" s="14"/>
      <c r="NLB154" s="14"/>
      <c r="NLC154" s="14"/>
      <c r="NLD154" s="14"/>
      <c r="NLE154" s="14"/>
      <c r="NLF154" s="14"/>
      <c r="NLG154" s="14"/>
      <c r="NLH154" s="14"/>
      <c r="NLI154" s="14"/>
      <c r="NLJ154" s="14"/>
      <c r="NLK154" s="14"/>
      <c r="NLL154" s="14"/>
      <c r="NLM154" s="14"/>
      <c r="NLN154" s="14"/>
      <c r="NLO154" s="14"/>
      <c r="NLP154" s="14"/>
      <c r="NLQ154" s="14"/>
      <c r="NLR154" s="14"/>
      <c r="NLS154" s="14"/>
      <c r="NLT154" s="14"/>
      <c r="NLU154" s="14"/>
      <c r="NLV154" s="14"/>
      <c r="NLW154" s="14"/>
      <c r="NLX154" s="14"/>
      <c r="NLY154" s="14"/>
      <c r="NLZ154" s="14"/>
      <c r="NMA154" s="14"/>
      <c r="NMB154" s="14"/>
      <c r="NMC154" s="14"/>
      <c r="NMD154" s="14"/>
      <c r="NME154" s="14"/>
      <c r="NMF154" s="14"/>
      <c r="NMG154" s="14"/>
      <c r="NMH154" s="14"/>
      <c r="NMI154" s="14"/>
      <c r="NMJ154" s="14"/>
      <c r="NMK154" s="14"/>
      <c r="NML154" s="14"/>
      <c r="NMM154" s="14"/>
      <c r="NMN154" s="14"/>
      <c r="NMO154" s="14"/>
      <c r="NMP154" s="14"/>
      <c r="NMQ154" s="14"/>
      <c r="NMR154" s="14"/>
      <c r="NMS154" s="14"/>
      <c r="NMT154" s="14"/>
      <c r="NMU154" s="14"/>
      <c r="NMV154" s="14"/>
      <c r="NMW154" s="14"/>
      <c r="NMX154" s="14"/>
      <c r="NMY154" s="14"/>
      <c r="NMZ154" s="14"/>
      <c r="NNA154" s="14"/>
      <c r="NNB154" s="14"/>
      <c r="NNC154" s="14"/>
      <c r="NND154" s="14"/>
      <c r="NNE154" s="14"/>
      <c r="NNF154" s="14"/>
      <c r="NNG154" s="14"/>
      <c r="NNH154" s="14"/>
      <c r="NNI154" s="14"/>
      <c r="NNJ154" s="14"/>
      <c r="NNK154" s="14"/>
      <c r="NNL154" s="14"/>
      <c r="NNM154" s="14"/>
      <c r="NNN154" s="14"/>
      <c r="NNO154" s="14"/>
      <c r="NNP154" s="14"/>
      <c r="NNQ154" s="14"/>
      <c r="NNR154" s="14"/>
      <c r="NNS154" s="14"/>
      <c r="NNT154" s="14"/>
      <c r="NNU154" s="14"/>
      <c r="NNV154" s="14"/>
      <c r="NNW154" s="14"/>
      <c r="NNX154" s="14"/>
      <c r="NNY154" s="14"/>
      <c r="NNZ154" s="14"/>
      <c r="NOA154" s="14"/>
      <c r="NOB154" s="14"/>
      <c r="NOC154" s="14"/>
      <c r="NOD154" s="14"/>
      <c r="NOE154" s="14"/>
      <c r="NOF154" s="14"/>
      <c r="NOG154" s="14"/>
      <c r="NOH154" s="14"/>
      <c r="NOI154" s="14"/>
      <c r="NOJ154" s="14"/>
      <c r="NOK154" s="14"/>
      <c r="NOL154" s="14"/>
      <c r="NOM154" s="14"/>
      <c r="NON154" s="14"/>
      <c r="NOO154" s="14"/>
      <c r="NOP154" s="14"/>
      <c r="NOQ154" s="14"/>
      <c r="NOR154" s="14"/>
      <c r="NOS154" s="14"/>
      <c r="NOT154" s="14"/>
      <c r="NOU154" s="14"/>
      <c r="NOV154" s="14"/>
      <c r="NOW154" s="14"/>
      <c r="NOX154" s="14"/>
      <c r="NOY154" s="14"/>
      <c r="NOZ154" s="14"/>
      <c r="NPA154" s="14"/>
      <c r="NPB154" s="14"/>
      <c r="NPC154" s="14"/>
      <c r="NPD154" s="14"/>
      <c r="NPE154" s="14"/>
      <c r="NPF154" s="14"/>
      <c r="NPG154" s="14"/>
      <c r="NPH154" s="14"/>
      <c r="NPI154" s="14"/>
      <c r="NPJ154" s="14"/>
      <c r="NPK154" s="14"/>
      <c r="NPL154" s="14"/>
      <c r="NPM154" s="14"/>
      <c r="NPN154" s="14"/>
      <c r="NPO154" s="14"/>
      <c r="NPP154" s="14"/>
      <c r="NPQ154" s="14"/>
      <c r="NPR154" s="14"/>
      <c r="NPS154" s="14"/>
      <c r="NPT154" s="14"/>
      <c r="NPU154" s="14"/>
      <c r="NPV154" s="14"/>
      <c r="NPW154" s="14"/>
      <c r="NPX154" s="14"/>
      <c r="NPY154" s="14"/>
      <c r="NPZ154" s="14"/>
      <c r="NQA154" s="14"/>
      <c r="NQB154" s="14"/>
      <c r="NQC154" s="14"/>
      <c r="NQD154" s="14"/>
      <c r="NQE154" s="14"/>
      <c r="NQF154" s="14"/>
      <c r="NQG154" s="14"/>
      <c r="NQH154" s="14"/>
      <c r="NQI154" s="14"/>
      <c r="NQJ154" s="14"/>
      <c r="NQK154" s="14"/>
      <c r="NQL154" s="14"/>
      <c r="NQM154" s="14"/>
      <c r="NQN154" s="14"/>
      <c r="NQO154" s="14"/>
      <c r="NQP154" s="14"/>
      <c r="NQQ154" s="14"/>
      <c r="NQR154" s="14"/>
      <c r="NQS154" s="14"/>
      <c r="NQT154" s="14"/>
      <c r="NQU154" s="14"/>
      <c r="NQV154" s="14"/>
      <c r="NQW154" s="14"/>
      <c r="NQX154" s="14"/>
      <c r="NQY154" s="14"/>
      <c r="NQZ154" s="14"/>
      <c r="NRA154" s="14"/>
      <c r="NRB154" s="14"/>
      <c r="NRC154" s="14"/>
      <c r="NRD154" s="14"/>
      <c r="NRE154" s="14"/>
      <c r="NRF154" s="14"/>
      <c r="NRG154" s="14"/>
      <c r="NRH154" s="14"/>
      <c r="NRI154" s="14"/>
      <c r="NRJ154" s="14"/>
      <c r="NRK154" s="14"/>
      <c r="NRL154" s="14"/>
      <c r="NRM154" s="14"/>
      <c r="NRN154" s="14"/>
      <c r="NRO154" s="14"/>
      <c r="NRP154" s="14"/>
      <c r="NRQ154" s="14"/>
      <c r="NRR154" s="14"/>
      <c r="NRS154" s="14"/>
      <c r="NRT154" s="14"/>
      <c r="NRU154" s="14"/>
      <c r="NRV154" s="14"/>
      <c r="NRW154" s="14"/>
      <c r="NRX154" s="14"/>
      <c r="NRY154" s="14"/>
      <c r="NRZ154" s="14"/>
      <c r="NSA154" s="14"/>
      <c r="NSB154" s="14"/>
      <c r="NSC154" s="14"/>
      <c r="NSD154" s="14"/>
      <c r="NSE154" s="14"/>
      <c r="NSF154" s="14"/>
      <c r="NSG154" s="14"/>
      <c r="NSH154" s="14"/>
      <c r="NSI154" s="14"/>
      <c r="NSJ154" s="14"/>
      <c r="NSK154" s="14"/>
      <c r="NSL154" s="14"/>
      <c r="NSM154" s="14"/>
      <c r="NSN154" s="14"/>
      <c r="NSO154" s="14"/>
      <c r="NSP154" s="14"/>
      <c r="NSQ154" s="14"/>
      <c r="NSR154" s="14"/>
      <c r="NSS154" s="14"/>
      <c r="NST154" s="14"/>
      <c r="NSU154" s="14"/>
      <c r="NSV154" s="14"/>
      <c r="NSW154" s="14"/>
      <c r="NSX154" s="14"/>
      <c r="NSY154" s="14"/>
      <c r="NSZ154" s="14"/>
      <c r="NTA154" s="14"/>
      <c r="NTB154" s="14"/>
      <c r="NTC154" s="14"/>
      <c r="NTD154" s="14"/>
      <c r="NTE154" s="14"/>
      <c r="NTF154" s="14"/>
      <c r="NTG154" s="14"/>
      <c r="NTH154" s="14"/>
      <c r="NTI154" s="14"/>
      <c r="NTJ154" s="14"/>
      <c r="NTK154" s="14"/>
      <c r="NTL154" s="14"/>
      <c r="NTM154" s="14"/>
      <c r="NTN154" s="14"/>
      <c r="NTO154" s="14"/>
      <c r="NTP154" s="14"/>
      <c r="NTQ154" s="14"/>
      <c r="NTR154" s="14"/>
      <c r="NTS154" s="14"/>
      <c r="NTT154" s="14"/>
      <c r="NTU154" s="14"/>
      <c r="NTV154" s="14"/>
      <c r="NTW154" s="14"/>
      <c r="NTX154" s="14"/>
      <c r="NTY154" s="14"/>
      <c r="NTZ154" s="14"/>
      <c r="NUA154" s="14"/>
      <c r="NUB154" s="14"/>
      <c r="NUC154" s="14"/>
      <c r="NUD154" s="14"/>
      <c r="NUE154" s="14"/>
      <c r="NUF154" s="14"/>
      <c r="NUG154" s="14"/>
      <c r="NUH154" s="14"/>
      <c r="NUI154" s="14"/>
      <c r="NUJ154" s="14"/>
      <c r="NUK154" s="14"/>
      <c r="NUL154" s="14"/>
      <c r="NUM154" s="14"/>
      <c r="NUN154" s="14"/>
      <c r="NUO154" s="14"/>
      <c r="NUP154" s="14"/>
      <c r="NUQ154" s="14"/>
      <c r="NUR154" s="14"/>
      <c r="NUS154" s="14"/>
      <c r="NUT154" s="14"/>
      <c r="NUU154" s="14"/>
      <c r="NUV154" s="14"/>
      <c r="NUW154" s="14"/>
      <c r="NUX154" s="14"/>
      <c r="NUY154" s="14"/>
      <c r="NUZ154" s="14"/>
      <c r="NVA154" s="14"/>
      <c r="NVB154" s="14"/>
      <c r="NVC154" s="14"/>
      <c r="NVD154" s="14"/>
      <c r="NVE154" s="14"/>
      <c r="NVF154" s="14"/>
      <c r="NVG154" s="14"/>
      <c r="NVH154" s="14"/>
      <c r="NVI154" s="14"/>
      <c r="NVJ154" s="14"/>
      <c r="NVK154" s="14"/>
      <c r="NVL154" s="14"/>
      <c r="NVM154" s="14"/>
      <c r="NVN154" s="14"/>
      <c r="NVO154" s="14"/>
      <c r="NVP154" s="14"/>
      <c r="NVQ154" s="14"/>
      <c r="NVR154" s="14"/>
      <c r="NVS154" s="14"/>
      <c r="NVT154" s="14"/>
      <c r="NVU154" s="14"/>
      <c r="NVV154" s="14"/>
      <c r="NVW154" s="14"/>
      <c r="NVX154" s="14"/>
      <c r="NVY154" s="14"/>
      <c r="NVZ154" s="14"/>
      <c r="NWA154" s="14"/>
      <c r="NWB154" s="14"/>
      <c r="NWC154" s="14"/>
      <c r="NWD154" s="14"/>
      <c r="NWE154" s="14"/>
      <c r="NWF154" s="14"/>
      <c r="NWG154" s="14"/>
      <c r="NWH154" s="14"/>
      <c r="NWI154" s="14"/>
      <c r="NWJ154" s="14"/>
      <c r="NWK154" s="14"/>
      <c r="NWL154" s="14"/>
      <c r="NWM154" s="14"/>
      <c r="NWN154" s="14"/>
      <c r="NWO154" s="14"/>
      <c r="NWP154" s="14"/>
      <c r="NWQ154" s="14"/>
      <c r="NWR154" s="14"/>
      <c r="NWS154" s="14"/>
      <c r="NWT154" s="14"/>
      <c r="NWU154" s="14"/>
      <c r="NWV154" s="14"/>
      <c r="NWW154" s="14"/>
      <c r="NWX154" s="14"/>
      <c r="NWY154" s="14"/>
      <c r="NWZ154" s="14"/>
      <c r="NXA154" s="14"/>
      <c r="NXB154" s="14"/>
      <c r="NXC154" s="14"/>
      <c r="NXD154" s="14"/>
      <c r="NXE154" s="14"/>
      <c r="NXF154" s="14"/>
      <c r="NXG154" s="14"/>
      <c r="NXH154" s="14"/>
      <c r="NXI154" s="14"/>
      <c r="NXJ154" s="14"/>
      <c r="NXK154" s="14"/>
      <c r="NXL154" s="14"/>
      <c r="NXM154" s="14"/>
      <c r="NXN154" s="14"/>
      <c r="NXO154" s="14"/>
      <c r="NXP154" s="14"/>
      <c r="NXQ154" s="14"/>
      <c r="NXR154" s="14"/>
      <c r="NXS154" s="14"/>
      <c r="NXT154" s="14"/>
      <c r="NXU154" s="14"/>
      <c r="NXV154" s="14"/>
      <c r="NXW154" s="14"/>
      <c r="NXX154" s="14"/>
      <c r="NXY154" s="14"/>
      <c r="NXZ154" s="14"/>
      <c r="NYA154" s="14"/>
      <c r="NYB154" s="14"/>
      <c r="NYC154" s="14"/>
      <c r="NYD154" s="14"/>
      <c r="NYE154" s="14"/>
      <c r="NYF154" s="14"/>
      <c r="NYG154" s="14"/>
      <c r="NYH154" s="14"/>
      <c r="NYI154" s="14"/>
      <c r="NYJ154" s="14"/>
      <c r="NYK154" s="14"/>
      <c r="NYL154" s="14"/>
      <c r="NYM154" s="14"/>
      <c r="NYN154" s="14"/>
      <c r="NYO154" s="14"/>
      <c r="NYP154" s="14"/>
      <c r="NYQ154" s="14"/>
      <c r="NYR154" s="14"/>
      <c r="NYS154" s="14"/>
      <c r="NYT154" s="14"/>
      <c r="NYU154" s="14"/>
      <c r="NYV154" s="14"/>
      <c r="NYW154" s="14"/>
      <c r="NYX154" s="14"/>
      <c r="NYY154" s="14"/>
      <c r="NYZ154" s="14"/>
      <c r="NZA154" s="14"/>
      <c r="NZB154" s="14"/>
      <c r="NZC154" s="14"/>
      <c r="NZD154" s="14"/>
      <c r="NZE154" s="14"/>
      <c r="NZF154" s="14"/>
      <c r="NZG154" s="14"/>
      <c r="NZH154" s="14"/>
      <c r="NZI154" s="14"/>
      <c r="NZJ154" s="14"/>
      <c r="NZK154" s="14"/>
      <c r="NZL154" s="14"/>
      <c r="NZM154" s="14"/>
      <c r="NZN154" s="14"/>
      <c r="NZO154" s="14"/>
      <c r="NZP154" s="14"/>
      <c r="NZQ154" s="14"/>
      <c r="NZR154" s="14"/>
      <c r="NZS154" s="14"/>
      <c r="NZT154" s="14"/>
      <c r="NZU154" s="14"/>
      <c r="NZV154" s="14"/>
      <c r="NZW154" s="14"/>
      <c r="NZX154" s="14"/>
      <c r="NZY154" s="14"/>
      <c r="NZZ154" s="14"/>
      <c r="OAA154" s="14"/>
      <c r="OAB154" s="14"/>
      <c r="OAC154" s="14"/>
      <c r="OAD154" s="14"/>
      <c r="OAE154" s="14"/>
      <c r="OAF154" s="14"/>
      <c r="OAG154" s="14"/>
      <c r="OAH154" s="14"/>
      <c r="OAI154" s="14"/>
      <c r="OAJ154" s="14"/>
      <c r="OAK154" s="14"/>
      <c r="OAL154" s="14"/>
      <c r="OAM154" s="14"/>
      <c r="OAN154" s="14"/>
      <c r="OAO154" s="14"/>
      <c r="OAP154" s="14"/>
      <c r="OAQ154" s="14"/>
      <c r="OAR154" s="14"/>
      <c r="OAS154" s="14"/>
      <c r="OAT154" s="14"/>
      <c r="OAU154" s="14"/>
      <c r="OAV154" s="14"/>
      <c r="OAW154" s="14"/>
      <c r="OAX154" s="14"/>
      <c r="OAY154" s="14"/>
      <c r="OAZ154" s="14"/>
      <c r="OBA154" s="14"/>
      <c r="OBB154" s="14"/>
      <c r="OBC154" s="14"/>
      <c r="OBD154" s="14"/>
      <c r="OBE154" s="14"/>
      <c r="OBF154" s="14"/>
      <c r="OBG154" s="14"/>
      <c r="OBH154" s="14"/>
      <c r="OBI154" s="14"/>
      <c r="OBJ154" s="14"/>
      <c r="OBK154" s="14"/>
      <c r="OBL154" s="14"/>
      <c r="OBM154" s="14"/>
      <c r="OBN154" s="14"/>
      <c r="OBO154" s="14"/>
      <c r="OBP154" s="14"/>
      <c r="OBQ154" s="14"/>
      <c r="OBR154" s="14"/>
      <c r="OBS154" s="14"/>
      <c r="OBT154" s="14"/>
      <c r="OBU154" s="14"/>
      <c r="OBV154" s="14"/>
      <c r="OBW154" s="14"/>
      <c r="OBX154" s="14"/>
      <c r="OBY154" s="14"/>
      <c r="OBZ154" s="14"/>
      <c r="OCA154" s="14"/>
      <c r="OCB154" s="14"/>
      <c r="OCC154" s="14"/>
      <c r="OCD154" s="14"/>
      <c r="OCE154" s="14"/>
      <c r="OCF154" s="14"/>
      <c r="OCG154" s="14"/>
      <c r="OCH154" s="14"/>
      <c r="OCI154" s="14"/>
      <c r="OCJ154" s="14"/>
      <c r="OCK154" s="14"/>
      <c r="OCL154" s="14"/>
      <c r="OCM154" s="14"/>
      <c r="OCN154" s="14"/>
      <c r="OCO154" s="14"/>
      <c r="OCP154" s="14"/>
      <c r="OCQ154" s="14"/>
      <c r="OCR154" s="14"/>
      <c r="OCS154" s="14"/>
      <c r="OCT154" s="14"/>
      <c r="OCU154" s="14"/>
      <c r="OCV154" s="14"/>
      <c r="OCW154" s="14"/>
      <c r="OCX154" s="14"/>
      <c r="OCY154" s="14"/>
      <c r="OCZ154" s="14"/>
      <c r="ODA154" s="14"/>
      <c r="ODB154" s="14"/>
      <c r="ODC154" s="14"/>
      <c r="ODD154" s="14"/>
      <c r="ODE154" s="14"/>
      <c r="ODF154" s="14"/>
      <c r="ODG154" s="14"/>
      <c r="ODH154" s="14"/>
      <c r="ODI154" s="14"/>
      <c r="ODJ154" s="14"/>
      <c r="ODK154" s="14"/>
      <c r="ODL154" s="14"/>
      <c r="ODM154" s="14"/>
      <c r="ODN154" s="14"/>
      <c r="ODO154" s="14"/>
      <c r="ODP154" s="14"/>
      <c r="ODQ154" s="14"/>
      <c r="ODR154" s="14"/>
      <c r="ODS154" s="14"/>
      <c r="ODT154" s="14"/>
      <c r="ODU154" s="14"/>
      <c r="ODV154" s="14"/>
      <c r="ODW154" s="14"/>
      <c r="ODX154" s="14"/>
      <c r="ODY154" s="14"/>
      <c r="ODZ154" s="14"/>
      <c r="OEA154" s="14"/>
      <c r="OEB154" s="14"/>
      <c r="OEC154" s="14"/>
      <c r="OED154" s="14"/>
      <c r="OEE154" s="14"/>
      <c r="OEF154" s="14"/>
      <c r="OEG154" s="14"/>
      <c r="OEH154" s="14"/>
      <c r="OEI154" s="14"/>
      <c r="OEJ154" s="14"/>
      <c r="OEK154" s="14"/>
      <c r="OEL154" s="14"/>
      <c r="OEM154" s="14"/>
      <c r="OEN154" s="14"/>
      <c r="OEO154" s="14"/>
      <c r="OEP154" s="14"/>
      <c r="OEQ154" s="14"/>
      <c r="OER154" s="14"/>
      <c r="OES154" s="14"/>
      <c r="OET154" s="14"/>
      <c r="OEU154" s="14"/>
      <c r="OEV154" s="14"/>
      <c r="OEW154" s="14"/>
      <c r="OEX154" s="14"/>
      <c r="OEY154" s="14"/>
      <c r="OEZ154" s="14"/>
      <c r="OFA154" s="14"/>
      <c r="OFB154" s="14"/>
      <c r="OFC154" s="14"/>
      <c r="OFD154" s="14"/>
      <c r="OFE154" s="14"/>
      <c r="OFF154" s="14"/>
      <c r="OFG154" s="14"/>
      <c r="OFH154" s="14"/>
      <c r="OFI154" s="14"/>
      <c r="OFJ154" s="14"/>
      <c r="OFK154" s="14"/>
      <c r="OFL154" s="14"/>
      <c r="OFM154" s="14"/>
      <c r="OFN154" s="14"/>
      <c r="OFO154" s="14"/>
      <c r="OFP154" s="14"/>
      <c r="OFQ154" s="14"/>
      <c r="OFR154" s="14"/>
      <c r="OFS154" s="14"/>
      <c r="OFT154" s="14"/>
      <c r="OFU154" s="14"/>
      <c r="OFV154" s="14"/>
      <c r="OFW154" s="14"/>
      <c r="OFX154" s="14"/>
      <c r="OFY154" s="14"/>
      <c r="OFZ154" s="14"/>
      <c r="OGA154" s="14"/>
      <c r="OGB154" s="14"/>
      <c r="OGC154" s="14"/>
      <c r="OGD154" s="14"/>
      <c r="OGE154" s="14"/>
      <c r="OGF154" s="14"/>
      <c r="OGG154" s="14"/>
      <c r="OGH154" s="14"/>
      <c r="OGI154" s="14"/>
      <c r="OGJ154" s="14"/>
      <c r="OGK154" s="14"/>
      <c r="OGL154" s="14"/>
      <c r="OGM154" s="14"/>
      <c r="OGN154" s="14"/>
      <c r="OGO154" s="14"/>
      <c r="OGP154" s="14"/>
      <c r="OGQ154" s="14"/>
      <c r="OGR154" s="14"/>
      <c r="OGS154" s="14"/>
      <c r="OGT154" s="14"/>
      <c r="OGU154" s="14"/>
      <c r="OGV154" s="14"/>
      <c r="OGW154" s="14"/>
      <c r="OGX154" s="14"/>
      <c r="OGY154" s="14"/>
      <c r="OGZ154" s="14"/>
      <c r="OHA154" s="14"/>
      <c r="OHB154" s="14"/>
      <c r="OHC154" s="14"/>
      <c r="OHD154" s="14"/>
      <c r="OHE154" s="14"/>
      <c r="OHF154" s="14"/>
      <c r="OHG154" s="14"/>
      <c r="OHH154" s="14"/>
      <c r="OHI154" s="14"/>
      <c r="OHJ154" s="14"/>
      <c r="OHK154" s="14"/>
      <c r="OHL154" s="14"/>
      <c r="OHM154" s="14"/>
      <c r="OHN154" s="14"/>
      <c r="OHO154" s="14"/>
      <c r="OHP154" s="14"/>
      <c r="OHQ154" s="14"/>
      <c r="OHR154" s="14"/>
      <c r="OHS154" s="14"/>
      <c r="OHT154" s="14"/>
      <c r="OHU154" s="14"/>
      <c r="OHV154" s="14"/>
      <c r="OHW154" s="14"/>
      <c r="OHX154" s="14"/>
      <c r="OHY154" s="14"/>
      <c r="OHZ154" s="14"/>
      <c r="OIA154" s="14"/>
      <c r="OIB154" s="14"/>
      <c r="OIC154" s="14"/>
      <c r="OID154" s="14"/>
      <c r="OIE154" s="14"/>
      <c r="OIF154" s="14"/>
      <c r="OIG154" s="14"/>
      <c r="OIH154" s="14"/>
      <c r="OII154" s="14"/>
      <c r="OIJ154" s="14"/>
      <c r="OIK154" s="14"/>
      <c r="OIL154" s="14"/>
      <c r="OIM154" s="14"/>
      <c r="OIN154" s="14"/>
      <c r="OIO154" s="14"/>
      <c r="OIP154" s="14"/>
      <c r="OIQ154" s="14"/>
      <c r="OIR154" s="14"/>
      <c r="OIS154" s="14"/>
      <c r="OIT154" s="14"/>
      <c r="OIU154" s="14"/>
      <c r="OIV154" s="14"/>
      <c r="OIW154" s="14"/>
      <c r="OIX154" s="14"/>
      <c r="OIY154" s="14"/>
      <c r="OIZ154" s="14"/>
      <c r="OJA154" s="14"/>
      <c r="OJB154" s="14"/>
      <c r="OJC154" s="14"/>
      <c r="OJD154" s="14"/>
      <c r="OJE154" s="14"/>
      <c r="OJF154" s="14"/>
      <c r="OJG154" s="14"/>
      <c r="OJH154" s="14"/>
      <c r="OJI154" s="14"/>
      <c r="OJJ154" s="14"/>
      <c r="OJK154" s="14"/>
      <c r="OJL154" s="14"/>
      <c r="OJM154" s="14"/>
      <c r="OJN154" s="14"/>
      <c r="OJO154" s="14"/>
      <c r="OJP154" s="14"/>
      <c r="OJQ154" s="14"/>
      <c r="OJR154" s="14"/>
      <c r="OJS154" s="14"/>
      <c r="OJT154" s="14"/>
      <c r="OJU154" s="14"/>
      <c r="OJV154" s="14"/>
      <c r="OJW154" s="14"/>
      <c r="OJX154" s="14"/>
      <c r="OJY154" s="14"/>
      <c r="OJZ154" s="14"/>
      <c r="OKA154" s="14"/>
      <c r="OKB154" s="14"/>
      <c r="OKC154" s="14"/>
      <c r="OKD154" s="14"/>
      <c r="OKE154" s="14"/>
      <c r="OKF154" s="14"/>
      <c r="OKG154" s="14"/>
      <c r="OKH154" s="14"/>
      <c r="OKI154" s="14"/>
      <c r="OKJ154" s="14"/>
      <c r="OKK154" s="14"/>
      <c r="OKL154" s="14"/>
      <c r="OKM154" s="14"/>
      <c r="OKN154" s="14"/>
      <c r="OKO154" s="14"/>
      <c r="OKP154" s="14"/>
      <c r="OKQ154" s="14"/>
      <c r="OKR154" s="14"/>
      <c r="OKS154" s="14"/>
      <c r="OKT154" s="14"/>
      <c r="OKU154" s="14"/>
      <c r="OKV154" s="14"/>
      <c r="OKW154" s="14"/>
      <c r="OKX154" s="14"/>
      <c r="OKY154" s="14"/>
      <c r="OKZ154" s="14"/>
      <c r="OLA154" s="14"/>
      <c r="OLB154" s="14"/>
      <c r="OLC154" s="14"/>
      <c r="OLD154" s="14"/>
      <c r="OLE154" s="14"/>
      <c r="OLF154" s="14"/>
      <c r="OLG154" s="14"/>
      <c r="OLH154" s="14"/>
      <c r="OLI154" s="14"/>
      <c r="OLJ154" s="14"/>
      <c r="OLK154" s="14"/>
      <c r="OLL154" s="14"/>
      <c r="OLM154" s="14"/>
      <c r="OLN154" s="14"/>
      <c r="OLO154" s="14"/>
      <c r="OLP154" s="14"/>
      <c r="OLQ154" s="14"/>
      <c r="OLR154" s="14"/>
      <c r="OLS154" s="14"/>
      <c r="OLT154" s="14"/>
      <c r="OLU154" s="14"/>
      <c r="OLV154" s="14"/>
      <c r="OLW154" s="14"/>
      <c r="OLX154" s="14"/>
      <c r="OLY154" s="14"/>
      <c r="OLZ154" s="14"/>
      <c r="OMA154" s="14"/>
      <c r="OMB154" s="14"/>
      <c r="OMC154" s="14"/>
      <c r="OMD154" s="14"/>
      <c r="OME154" s="14"/>
      <c r="OMF154" s="14"/>
      <c r="OMG154" s="14"/>
      <c r="OMH154" s="14"/>
      <c r="OMI154" s="14"/>
      <c r="OMJ154" s="14"/>
      <c r="OMK154" s="14"/>
      <c r="OML154" s="14"/>
      <c r="OMM154" s="14"/>
      <c r="OMN154" s="14"/>
      <c r="OMO154" s="14"/>
      <c r="OMP154" s="14"/>
      <c r="OMQ154" s="14"/>
      <c r="OMR154" s="14"/>
      <c r="OMS154" s="14"/>
      <c r="OMT154" s="14"/>
      <c r="OMU154" s="14"/>
      <c r="OMV154" s="14"/>
      <c r="OMW154" s="14"/>
      <c r="OMX154" s="14"/>
      <c r="OMY154" s="14"/>
      <c r="OMZ154" s="14"/>
      <c r="ONA154" s="14"/>
      <c r="ONB154" s="14"/>
      <c r="ONC154" s="14"/>
      <c r="OND154" s="14"/>
      <c r="ONE154" s="14"/>
      <c r="ONF154" s="14"/>
      <c r="ONG154" s="14"/>
      <c r="ONH154" s="14"/>
      <c r="ONI154" s="14"/>
      <c r="ONJ154" s="14"/>
      <c r="ONK154" s="14"/>
      <c r="ONL154" s="14"/>
      <c r="ONM154" s="14"/>
      <c r="ONN154" s="14"/>
      <c r="ONO154" s="14"/>
      <c r="ONP154" s="14"/>
      <c r="ONQ154" s="14"/>
      <c r="ONR154" s="14"/>
      <c r="ONS154" s="14"/>
      <c r="ONT154" s="14"/>
      <c r="ONU154" s="14"/>
      <c r="ONV154" s="14"/>
      <c r="ONW154" s="14"/>
      <c r="ONX154" s="14"/>
      <c r="ONY154" s="14"/>
      <c r="ONZ154" s="14"/>
      <c r="OOA154" s="14"/>
      <c r="OOB154" s="14"/>
      <c r="OOC154" s="14"/>
      <c r="OOD154" s="14"/>
      <c r="OOE154" s="14"/>
      <c r="OOF154" s="14"/>
      <c r="OOG154" s="14"/>
      <c r="OOH154" s="14"/>
      <c r="OOI154" s="14"/>
      <c r="OOJ154" s="14"/>
      <c r="OOK154" s="14"/>
      <c r="OOL154" s="14"/>
      <c r="OOM154" s="14"/>
      <c r="OON154" s="14"/>
      <c r="OOO154" s="14"/>
      <c r="OOP154" s="14"/>
      <c r="OOQ154" s="14"/>
      <c r="OOR154" s="14"/>
      <c r="OOS154" s="14"/>
      <c r="OOT154" s="14"/>
      <c r="OOU154" s="14"/>
      <c r="OOV154" s="14"/>
      <c r="OOW154" s="14"/>
      <c r="OOX154" s="14"/>
      <c r="OOY154" s="14"/>
      <c r="OOZ154" s="14"/>
      <c r="OPA154" s="14"/>
      <c r="OPB154" s="14"/>
      <c r="OPC154" s="14"/>
      <c r="OPD154" s="14"/>
      <c r="OPE154" s="14"/>
      <c r="OPF154" s="14"/>
      <c r="OPG154" s="14"/>
      <c r="OPH154" s="14"/>
      <c r="OPI154" s="14"/>
      <c r="OPJ154" s="14"/>
      <c r="OPK154" s="14"/>
      <c r="OPL154" s="14"/>
      <c r="OPM154" s="14"/>
      <c r="OPN154" s="14"/>
      <c r="OPO154" s="14"/>
      <c r="OPP154" s="14"/>
      <c r="OPQ154" s="14"/>
      <c r="OPR154" s="14"/>
      <c r="OPS154" s="14"/>
      <c r="OPT154" s="14"/>
      <c r="OPU154" s="14"/>
      <c r="OPV154" s="14"/>
      <c r="OPW154" s="14"/>
      <c r="OPX154" s="14"/>
      <c r="OPY154" s="14"/>
      <c r="OPZ154" s="14"/>
      <c r="OQA154" s="14"/>
      <c r="OQB154" s="14"/>
      <c r="OQC154" s="14"/>
      <c r="OQD154" s="14"/>
      <c r="OQE154" s="14"/>
      <c r="OQF154" s="14"/>
      <c r="OQG154" s="14"/>
      <c r="OQH154" s="14"/>
      <c r="OQI154" s="14"/>
      <c r="OQJ154" s="14"/>
      <c r="OQK154" s="14"/>
      <c r="OQL154" s="14"/>
      <c r="OQM154" s="14"/>
      <c r="OQN154" s="14"/>
      <c r="OQO154" s="14"/>
      <c r="OQP154" s="14"/>
      <c r="OQQ154" s="14"/>
      <c r="OQR154" s="14"/>
      <c r="OQS154" s="14"/>
      <c r="OQT154" s="14"/>
      <c r="OQU154" s="14"/>
      <c r="OQV154" s="14"/>
      <c r="OQW154" s="14"/>
      <c r="OQX154" s="14"/>
      <c r="OQY154" s="14"/>
      <c r="OQZ154" s="14"/>
      <c r="ORA154" s="14"/>
      <c r="ORB154" s="14"/>
      <c r="ORC154" s="14"/>
      <c r="ORD154" s="14"/>
      <c r="ORE154" s="14"/>
      <c r="ORF154" s="14"/>
      <c r="ORG154" s="14"/>
      <c r="ORH154" s="14"/>
      <c r="ORI154" s="14"/>
      <c r="ORJ154" s="14"/>
      <c r="ORK154" s="14"/>
      <c r="ORL154" s="14"/>
      <c r="ORM154" s="14"/>
      <c r="ORN154" s="14"/>
      <c r="ORO154" s="14"/>
      <c r="ORP154" s="14"/>
      <c r="ORQ154" s="14"/>
      <c r="ORR154" s="14"/>
      <c r="ORS154" s="14"/>
      <c r="ORT154" s="14"/>
      <c r="ORU154" s="14"/>
      <c r="ORV154" s="14"/>
      <c r="ORW154" s="14"/>
      <c r="ORX154" s="14"/>
      <c r="ORY154" s="14"/>
      <c r="ORZ154" s="14"/>
      <c r="OSA154" s="14"/>
      <c r="OSB154" s="14"/>
      <c r="OSC154" s="14"/>
      <c r="OSD154" s="14"/>
      <c r="OSE154" s="14"/>
      <c r="OSF154" s="14"/>
      <c r="OSG154" s="14"/>
      <c r="OSH154" s="14"/>
      <c r="OSI154" s="14"/>
      <c r="OSJ154" s="14"/>
      <c r="OSK154" s="14"/>
      <c r="OSL154" s="14"/>
      <c r="OSM154" s="14"/>
      <c r="OSN154" s="14"/>
      <c r="OSO154" s="14"/>
      <c r="OSP154" s="14"/>
      <c r="OSQ154" s="14"/>
      <c r="OSR154" s="14"/>
      <c r="OSS154" s="14"/>
      <c r="OST154" s="14"/>
      <c r="OSU154" s="14"/>
      <c r="OSV154" s="14"/>
      <c r="OSW154" s="14"/>
      <c r="OSX154" s="14"/>
      <c r="OSY154" s="14"/>
      <c r="OSZ154" s="14"/>
      <c r="OTA154" s="14"/>
      <c r="OTB154" s="14"/>
      <c r="OTC154" s="14"/>
      <c r="OTD154" s="14"/>
      <c r="OTE154" s="14"/>
      <c r="OTF154" s="14"/>
      <c r="OTG154" s="14"/>
      <c r="OTH154" s="14"/>
      <c r="OTI154" s="14"/>
      <c r="OTJ154" s="14"/>
      <c r="OTK154" s="14"/>
      <c r="OTL154" s="14"/>
      <c r="OTM154" s="14"/>
      <c r="OTN154" s="14"/>
      <c r="OTO154" s="14"/>
      <c r="OTP154" s="14"/>
      <c r="OTQ154" s="14"/>
      <c r="OTR154" s="14"/>
      <c r="OTS154" s="14"/>
      <c r="OTT154" s="14"/>
      <c r="OTU154" s="14"/>
      <c r="OTV154" s="14"/>
      <c r="OTW154" s="14"/>
      <c r="OTX154" s="14"/>
      <c r="OTY154" s="14"/>
      <c r="OTZ154" s="14"/>
      <c r="OUA154" s="14"/>
      <c r="OUB154" s="14"/>
      <c r="OUC154" s="14"/>
      <c r="OUD154" s="14"/>
      <c r="OUE154" s="14"/>
      <c r="OUF154" s="14"/>
      <c r="OUG154" s="14"/>
      <c r="OUH154" s="14"/>
      <c r="OUI154" s="14"/>
      <c r="OUJ154" s="14"/>
      <c r="OUK154" s="14"/>
      <c r="OUL154" s="14"/>
      <c r="OUM154" s="14"/>
      <c r="OUN154" s="14"/>
      <c r="OUO154" s="14"/>
      <c r="OUP154" s="14"/>
      <c r="OUQ154" s="14"/>
      <c r="OUR154" s="14"/>
      <c r="OUS154" s="14"/>
      <c r="OUT154" s="14"/>
      <c r="OUU154" s="14"/>
      <c r="OUV154" s="14"/>
      <c r="OUW154" s="14"/>
      <c r="OUX154" s="14"/>
      <c r="OUY154" s="14"/>
      <c r="OUZ154" s="14"/>
      <c r="OVA154" s="14"/>
      <c r="OVB154" s="14"/>
      <c r="OVC154" s="14"/>
      <c r="OVD154" s="14"/>
      <c r="OVE154" s="14"/>
      <c r="OVF154" s="14"/>
      <c r="OVG154" s="14"/>
      <c r="OVH154" s="14"/>
      <c r="OVI154" s="14"/>
      <c r="OVJ154" s="14"/>
      <c r="OVK154" s="14"/>
      <c r="OVL154" s="14"/>
      <c r="OVM154" s="14"/>
      <c r="OVN154" s="14"/>
      <c r="OVO154" s="14"/>
      <c r="OVP154" s="14"/>
      <c r="OVQ154" s="14"/>
      <c r="OVR154" s="14"/>
      <c r="OVS154" s="14"/>
      <c r="OVT154" s="14"/>
      <c r="OVU154" s="14"/>
      <c r="OVV154" s="14"/>
      <c r="OVW154" s="14"/>
      <c r="OVX154" s="14"/>
      <c r="OVY154" s="14"/>
      <c r="OVZ154" s="14"/>
      <c r="OWA154" s="14"/>
      <c r="OWB154" s="14"/>
      <c r="OWC154" s="14"/>
      <c r="OWD154" s="14"/>
      <c r="OWE154" s="14"/>
      <c r="OWF154" s="14"/>
      <c r="OWG154" s="14"/>
      <c r="OWH154" s="14"/>
      <c r="OWI154" s="14"/>
      <c r="OWJ154" s="14"/>
      <c r="OWK154" s="14"/>
      <c r="OWL154" s="14"/>
      <c r="OWM154" s="14"/>
      <c r="OWN154" s="14"/>
      <c r="OWO154" s="14"/>
      <c r="OWP154" s="14"/>
      <c r="OWQ154" s="14"/>
      <c r="OWR154" s="14"/>
      <c r="OWS154" s="14"/>
      <c r="OWT154" s="14"/>
      <c r="OWU154" s="14"/>
      <c r="OWV154" s="14"/>
      <c r="OWW154" s="14"/>
      <c r="OWX154" s="14"/>
      <c r="OWY154" s="14"/>
      <c r="OWZ154" s="14"/>
      <c r="OXA154" s="14"/>
      <c r="OXB154" s="14"/>
      <c r="OXC154" s="14"/>
      <c r="OXD154" s="14"/>
      <c r="OXE154" s="14"/>
      <c r="OXF154" s="14"/>
      <c r="OXG154" s="14"/>
      <c r="OXH154" s="14"/>
      <c r="OXI154" s="14"/>
      <c r="OXJ154" s="14"/>
      <c r="OXK154" s="14"/>
      <c r="OXL154" s="14"/>
      <c r="OXM154" s="14"/>
      <c r="OXN154" s="14"/>
      <c r="OXO154" s="14"/>
      <c r="OXP154" s="14"/>
      <c r="OXQ154" s="14"/>
      <c r="OXR154" s="14"/>
      <c r="OXS154" s="14"/>
      <c r="OXT154" s="14"/>
      <c r="OXU154" s="14"/>
      <c r="OXV154" s="14"/>
      <c r="OXW154" s="14"/>
      <c r="OXX154" s="14"/>
      <c r="OXY154" s="14"/>
      <c r="OXZ154" s="14"/>
      <c r="OYA154" s="14"/>
      <c r="OYB154" s="14"/>
      <c r="OYC154" s="14"/>
      <c r="OYD154" s="14"/>
      <c r="OYE154" s="14"/>
      <c r="OYF154" s="14"/>
      <c r="OYG154" s="14"/>
      <c r="OYH154" s="14"/>
      <c r="OYI154" s="14"/>
      <c r="OYJ154" s="14"/>
      <c r="OYK154" s="14"/>
      <c r="OYL154" s="14"/>
      <c r="OYM154" s="14"/>
      <c r="OYN154" s="14"/>
      <c r="OYO154" s="14"/>
      <c r="OYP154" s="14"/>
      <c r="OYQ154" s="14"/>
      <c r="OYR154" s="14"/>
      <c r="OYS154" s="14"/>
      <c r="OYT154" s="14"/>
      <c r="OYU154" s="14"/>
      <c r="OYV154" s="14"/>
      <c r="OYW154" s="14"/>
      <c r="OYX154" s="14"/>
      <c r="OYY154" s="14"/>
      <c r="OYZ154" s="14"/>
      <c r="OZA154" s="14"/>
      <c r="OZB154" s="14"/>
      <c r="OZC154" s="14"/>
      <c r="OZD154" s="14"/>
      <c r="OZE154" s="14"/>
      <c r="OZF154" s="14"/>
      <c r="OZG154" s="14"/>
      <c r="OZH154" s="14"/>
      <c r="OZI154" s="14"/>
      <c r="OZJ154" s="14"/>
      <c r="OZK154" s="14"/>
      <c r="OZL154" s="14"/>
      <c r="OZM154" s="14"/>
      <c r="OZN154" s="14"/>
      <c r="OZO154" s="14"/>
      <c r="OZP154" s="14"/>
      <c r="OZQ154" s="14"/>
      <c r="OZR154" s="14"/>
      <c r="OZS154" s="14"/>
      <c r="OZT154" s="14"/>
      <c r="OZU154" s="14"/>
      <c r="OZV154" s="14"/>
      <c r="OZW154" s="14"/>
      <c r="OZX154" s="14"/>
      <c r="OZY154" s="14"/>
      <c r="OZZ154" s="14"/>
      <c r="PAA154" s="14"/>
      <c r="PAB154" s="14"/>
      <c r="PAC154" s="14"/>
      <c r="PAD154" s="14"/>
      <c r="PAE154" s="14"/>
      <c r="PAF154" s="14"/>
      <c r="PAG154" s="14"/>
      <c r="PAH154" s="14"/>
      <c r="PAI154" s="14"/>
      <c r="PAJ154" s="14"/>
      <c r="PAK154" s="14"/>
      <c r="PAL154" s="14"/>
      <c r="PAM154" s="14"/>
      <c r="PAN154" s="14"/>
      <c r="PAO154" s="14"/>
      <c r="PAP154" s="14"/>
      <c r="PAQ154" s="14"/>
      <c r="PAR154" s="14"/>
      <c r="PAS154" s="14"/>
      <c r="PAT154" s="14"/>
      <c r="PAU154" s="14"/>
      <c r="PAV154" s="14"/>
      <c r="PAW154" s="14"/>
      <c r="PAX154" s="14"/>
      <c r="PAY154" s="14"/>
      <c r="PAZ154" s="14"/>
      <c r="PBA154" s="14"/>
      <c r="PBB154" s="14"/>
      <c r="PBC154" s="14"/>
      <c r="PBD154" s="14"/>
      <c r="PBE154" s="14"/>
      <c r="PBF154" s="14"/>
      <c r="PBG154" s="14"/>
      <c r="PBH154" s="14"/>
      <c r="PBI154" s="14"/>
      <c r="PBJ154" s="14"/>
      <c r="PBK154" s="14"/>
      <c r="PBL154" s="14"/>
      <c r="PBM154" s="14"/>
      <c r="PBN154" s="14"/>
      <c r="PBO154" s="14"/>
      <c r="PBP154" s="14"/>
      <c r="PBQ154" s="14"/>
      <c r="PBR154" s="14"/>
      <c r="PBS154" s="14"/>
      <c r="PBT154" s="14"/>
      <c r="PBU154" s="14"/>
      <c r="PBV154" s="14"/>
      <c r="PBW154" s="14"/>
      <c r="PBX154" s="14"/>
      <c r="PBY154" s="14"/>
      <c r="PBZ154" s="14"/>
      <c r="PCA154" s="14"/>
      <c r="PCB154" s="14"/>
      <c r="PCC154" s="14"/>
      <c r="PCD154" s="14"/>
      <c r="PCE154" s="14"/>
      <c r="PCF154" s="14"/>
      <c r="PCG154" s="14"/>
      <c r="PCH154" s="14"/>
      <c r="PCI154" s="14"/>
      <c r="PCJ154" s="14"/>
      <c r="PCK154" s="14"/>
      <c r="PCL154" s="14"/>
      <c r="PCM154" s="14"/>
      <c r="PCN154" s="14"/>
      <c r="PCO154" s="14"/>
      <c r="PCP154" s="14"/>
      <c r="PCQ154" s="14"/>
      <c r="PCR154" s="14"/>
      <c r="PCS154" s="14"/>
      <c r="PCT154" s="14"/>
      <c r="PCU154" s="14"/>
      <c r="PCV154" s="14"/>
      <c r="PCW154" s="14"/>
      <c r="PCX154" s="14"/>
      <c r="PCY154" s="14"/>
      <c r="PCZ154" s="14"/>
      <c r="PDA154" s="14"/>
      <c r="PDB154" s="14"/>
      <c r="PDC154" s="14"/>
      <c r="PDD154" s="14"/>
      <c r="PDE154" s="14"/>
      <c r="PDF154" s="14"/>
      <c r="PDG154" s="14"/>
      <c r="PDH154" s="14"/>
      <c r="PDI154" s="14"/>
      <c r="PDJ154" s="14"/>
      <c r="PDK154" s="14"/>
      <c r="PDL154" s="14"/>
      <c r="PDM154" s="14"/>
      <c r="PDN154" s="14"/>
      <c r="PDO154" s="14"/>
      <c r="PDP154" s="14"/>
      <c r="PDQ154" s="14"/>
      <c r="PDR154" s="14"/>
      <c r="PDS154" s="14"/>
      <c r="PDT154" s="14"/>
      <c r="PDU154" s="14"/>
      <c r="PDV154" s="14"/>
      <c r="PDW154" s="14"/>
      <c r="PDX154" s="14"/>
      <c r="PDY154" s="14"/>
      <c r="PDZ154" s="14"/>
      <c r="PEA154" s="14"/>
      <c r="PEB154" s="14"/>
      <c r="PEC154" s="14"/>
      <c r="PED154" s="14"/>
      <c r="PEE154" s="14"/>
      <c r="PEF154" s="14"/>
      <c r="PEG154" s="14"/>
      <c r="PEH154" s="14"/>
      <c r="PEI154" s="14"/>
      <c r="PEJ154" s="14"/>
      <c r="PEK154" s="14"/>
      <c r="PEL154" s="14"/>
      <c r="PEM154" s="14"/>
      <c r="PEN154" s="14"/>
      <c r="PEO154" s="14"/>
      <c r="PEP154" s="14"/>
      <c r="PEQ154" s="14"/>
      <c r="PER154" s="14"/>
      <c r="PES154" s="14"/>
      <c r="PET154" s="14"/>
      <c r="PEU154" s="14"/>
      <c r="PEV154" s="14"/>
      <c r="PEW154" s="14"/>
      <c r="PEX154" s="14"/>
      <c r="PEY154" s="14"/>
      <c r="PEZ154" s="14"/>
      <c r="PFA154" s="14"/>
      <c r="PFB154" s="14"/>
      <c r="PFC154" s="14"/>
      <c r="PFD154" s="14"/>
      <c r="PFE154" s="14"/>
      <c r="PFF154" s="14"/>
      <c r="PFG154" s="14"/>
      <c r="PFH154" s="14"/>
      <c r="PFI154" s="14"/>
      <c r="PFJ154" s="14"/>
      <c r="PFK154" s="14"/>
      <c r="PFL154" s="14"/>
      <c r="PFM154" s="14"/>
      <c r="PFN154" s="14"/>
      <c r="PFO154" s="14"/>
      <c r="PFP154" s="14"/>
      <c r="PFQ154" s="14"/>
      <c r="PFR154" s="14"/>
      <c r="PFS154" s="14"/>
      <c r="PFT154" s="14"/>
      <c r="PFU154" s="14"/>
      <c r="PFV154" s="14"/>
      <c r="PFW154" s="14"/>
      <c r="PFX154" s="14"/>
      <c r="PFY154" s="14"/>
      <c r="PFZ154" s="14"/>
      <c r="PGA154" s="14"/>
      <c r="PGB154" s="14"/>
      <c r="PGC154" s="14"/>
      <c r="PGD154" s="14"/>
      <c r="PGE154" s="14"/>
      <c r="PGF154" s="14"/>
      <c r="PGG154" s="14"/>
      <c r="PGH154" s="14"/>
      <c r="PGI154" s="14"/>
      <c r="PGJ154" s="14"/>
      <c r="PGK154" s="14"/>
      <c r="PGL154" s="14"/>
      <c r="PGM154" s="14"/>
      <c r="PGN154" s="14"/>
      <c r="PGO154" s="14"/>
      <c r="PGP154" s="14"/>
      <c r="PGQ154" s="14"/>
      <c r="PGR154" s="14"/>
      <c r="PGS154" s="14"/>
      <c r="PGT154" s="14"/>
      <c r="PGU154" s="14"/>
      <c r="PGV154" s="14"/>
      <c r="PGW154" s="14"/>
      <c r="PGX154" s="14"/>
      <c r="PGY154" s="14"/>
      <c r="PGZ154" s="14"/>
      <c r="PHA154" s="14"/>
      <c r="PHB154" s="14"/>
      <c r="PHC154" s="14"/>
      <c r="PHD154" s="14"/>
      <c r="PHE154" s="14"/>
      <c r="PHF154" s="14"/>
      <c r="PHG154" s="14"/>
      <c r="PHH154" s="14"/>
      <c r="PHI154" s="14"/>
      <c r="PHJ154" s="14"/>
      <c r="PHK154" s="14"/>
      <c r="PHL154" s="14"/>
      <c r="PHM154" s="14"/>
      <c r="PHN154" s="14"/>
      <c r="PHO154" s="14"/>
      <c r="PHP154" s="14"/>
      <c r="PHQ154" s="14"/>
      <c r="PHR154" s="14"/>
      <c r="PHS154" s="14"/>
      <c r="PHT154" s="14"/>
      <c r="PHU154" s="14"/>
      <c r="PHV154" s="14"/>
      <c r="PHW154" s="14"/>
      <c r="PHX154" s="14"/>
      <c r="PHY154" s="14"/>
      <c r="PHZ154" s="14"/>
      <c r="PIA154" s="14"/>
      <c r="PIB154" s="14"/>
      <c r="PIC154" s="14"/>
      <c r="PID154" s="14"/>
      <c r="PIE154" s="14"/>
      <c r="PIF154" s="14"/>
      <c r="PIG154" s="14"/>
      <c r="PIH154" s="14"/>
      <c r="PII154" s="14"/>
      <c r="PIJ154" s="14"/>
      <c r="PIK154" s="14"/>
      <c r="PIL154" s="14"/>
      <c r="PIM154" s="14"/>
      <c r="PIN154" s="14"/>
      <c r="PIO154" s="14"/>
      <c r="PIP154" s="14"/>
      <c r="PIQ154" s="14"/>
      <c r="PIR154" s="14"/>
      <c r="PIS154" s="14"/>
      <c r="PIT154" s="14"/>
      <c r="PIU154" s="14"/>
      <c r="PIV154" s="14"/>
      <c r="PIW154" s="14"/>
      <c r="PIX154" s="14"/>
      <c r="PIY154" s="14"/>
      <c r="PIZ154" s="14"/>
      <c r="PJA154" s="14"/>
      <c r="PJB154" s="14"/>
      <c r="PJC154" s="14"/>
      <c r="PJD154" s="14"/>
      <c r="PJE154" s="14"/>
      <c r="PJF154" s="14"/>
      <c r="PJG154" s="14"/>
      <c r="PJH154" s="14"/>
      <c r="PJI154" s="14"/>
      <c r="PJJ154" s="14"/>
      <c r="PJK154" s="14"/>
      <c r="PJL154" s="14"/>
      <c r="PJM154" s="14"/>
      <c r="PJN154" s="14"/>
      <c r="PJO154" s="14"/>
      <c r="PJP154" s="14"/>
      <c r="PJQ154" s="14"/>
      <c r="PJR154" s="14"/>
      <c r="PJS154" s="14"/>
      <c r="PJT154" s="14"/>
      <c r="PJU154" s="14"/>
      <c r="PJV154" s="14"/>
      <c r="PJW154" s="14"/>
      <c r="PJX154" s="14"/>
      <c r="PJY154" s="14"/>
      <c r="PJZ154" s="14"/>
      <c r="PKA154" s="14"/>
      <c r="PKB154" s="14"/>
      <c r="PKC154" s="14"/>
      <c r="PKD154" s="14"/>
      <c r="PKE154" s="14"/>
      <c r="PKF154" s="14"/>
      <c r="PKG154" s="14"/>
      <c r="PKH154" s="14"/>
      <c r="PKI154" s="14"/>
      <c r="PKJ154" s="14"/>
      <c r="PKK154" s="14"/>
      <c r="PKL154" s="14"/>
      <c r="PKM154" s="14"/>
      <c r="PKN154" s="14"/>
      <c r="PKO154" s="14"/>
      <c r="PKP154" s="14"/>
      <c r="PKQ154" s="14"/>
      <c r="PKR154" s="14"/>
      <c r="PKS154" s="14"/>
      <c r="PKT154" s="14"/>
      <c r="PKU154" s="14"/>
      <c r="PKV154" s="14"/>
      <c r="PKW154" s="14"/>
      <c r="PKX154" s="14"/>
      <c r="PKY154" s="14"/>
      <c r="PKZ154" s="14"/>
      <c r="PLA154" s="14"/>
      <c r="PLB154" s="14"/>
      <c r="PLC154" s="14"/>
      <c r="PLD154" s="14"/>
      <c r="PLE154" s="14"/>
      <c r="PLF154" s="14"/>
      <c r="PLG154" s="14"/>
      <c r="PLH154" s="14"/>
      <c r="PLI154" s="14"/>
      <c r="PLJ154" s="14"/>
      <c r="PLK154" s="14"/>
      <c r="PLL154" s="14"/>
      <c r="PLM154" s="14"/>
      <c r="PLN154" s="14"/>
      <c r="PLO154" s="14"/>
      <c r="PLP154" s="14"/>
      <c r="PLQ154" s="14"/>
      <c r="PLR154" s="14"/>
      <c r="PLS154" s="14"/>
      <c r="PLT154" s="14"/>
      <c r="PLU154" s="14"/>
      <c r="PLV154" s="14"/>
      <c r="PLW154" s="14"/>
      <c r="PLX154" s="14"/>
      <c r="PLY154" s="14"/>
      <c r="PLZ154" s="14"/>
      <c r="PMA154" s="14"/>
      <c r="PMB154" s="14"/>
      <c r="PMC154" s="14"/>
      <c r="PMD154" s="14"/>
      <c r="PME154" s="14"/>
      <c r="PMF154" s="14"/>
      <c r="PMG154" s="14"/>
      <c r="PMH154" s="14"/>
      <c r="PMI154" s="14"/>
      <c r="PMJ154" s="14"/>
      <c r="PMK154" s="14"/>
      <c r="PML154" s="14"/>
      <c r="PMM154" s="14"/>
      <c r="PMN154" s="14"/>
      <c r="PMO154" s="14"/>
      <c r="PMP154" s="14"/>
      <c r="PMQ154" s="14"/>
      <c r="PMR154" s="14"/>
      <c r="PMS154" s="14"/>
      <c r="PMT154" s="14"/>
      <c r="PMU154" s="14"/>
      <c r="PMV154" s="14"/>
      <c r="PMW154" s="14"/>
      <c r="PMX154" s="14"/>
      <c r="PMY154" s="14"/>
      <c r="PMZ154" s="14"/>
      <c r="PNA154" s="14"/>
      <c r="PNB154" s="14"/>
      <c r="PNC154" s="14"/>
      <c r="PND154" s="14"/>
      <c r="PNE154" s="14"/>
      <c r="PNF154" s="14"/>
      <c r="PNG154" s="14"/>
      <c r="PNH154" s="14"/>
      <c r="PNI154" s="14"/>
      <c r="PNJ154" s="14"/>
      <c r="PNK154" s="14"/>
      <c r="PNL154" s="14"/>
      <c r="PNM154" s="14"/>
      <c r="PNN154" s="14"/>
      <c r="PNO154" s="14"/>
      <c r="PNP154" s="14"/>
      <c r="PNQ154" s="14"/>
      <c r="PNR154" s="14"/>
      <c r="PNS154" s="14"/>
      <c r="PNT154" s="14"/>
      <c r="PNU154" s="14"/>
      <c r="PNV154" s="14"/>
      <c r="PNW154" s="14"/>
      <c r="PNX154" s="14"/>
      <c r="PNY154" s="14"/>
      <c r="PNZ154" s="14"/>
      <c r="POA154" s="14"/>
      <c r="POB154" s="14"/>
      <c r="POC154" s="14"/>
      <c r="POD154" s="14"/>
      <c r="POE154" s="14"/>
      <c r="POF154" s="14"/>
      <c r="POG154" s="14"/>
      <c r="POH154" s="14"/>
      <c r="POI154" s="14"/>
      <c r="POJ154" s="14"/>
      <c r="POK154" s="14"/>
      <c r="POL154" s="14"/>
      <c r="POM154" s="14"/>
      <c r="PON154" s="14"/>
      <c r="POO154" s="14"/>
      <c r="POP154" s="14"/>
      <c r="POQ154" s="14"/>
      <c r="POR154" s="14"/>
      <c r="POS154" s="14"/>
      <c r="POT154" s="14"/>
      <c r="POU154" s="14"/>
      <c r="POV154" s="14"/>
      <c r="POW154" s="14"/>
      <c r="POX154" s="14"/>
      <c r="POY154" s="14"/>
      <c r="POZ154" s="14"/>
      <c r="PPA154" s="14"/>
      <c r="PPB154" s="14"/>
      <c r="PPC154" s="14"/>
      <c r="PPD154" s="14"/>
      <c r="PPE154" s="14"/>
      <c r="PPF154" s="14"/>
      <c r="PPG154" s="14"/>
      <c r="PPH154" s="14"/>
      <c r="PPI154" s="14"/>
      <c r="PPJ154" s="14"/>
      <c r="PPK154" s="14"/>
      <c r="PPL154" s="14"/>
      <c r="PPM154" s="14"/>
      <c r="PPN154" s="14"/>
      <c r="PPO154" s="14"/>
      <c r="PPP154" s="14"/>
      <c r="PPQ154" s="14"/>
      <c r="PPR154" s="14"/>
      <c r="PPS154" s="14"/>
      <c r="PPT154" s="14"/>
      <c r="PPU154" s="14"/>
      <c r="PPV154" s="14"/>
      <c r="PPW154" s="14"/>
      <c r="PPX154" s="14"/>
      <c r="PPY154" s="14"/>
      <c r="PPZ154" s="14"/>
      <c r="PQA154" s="14"/>
      <c r="PQB154" s="14"/>
      <c r="PQC154" s="14"/>
      <c r="PQD154" s="14"/>
      <c r="PQE154" s="14"/>
      <c r="PQF154" s="14"/>
      <c r="PQG154" s="14"/>
      <c r="PQH154" s="14"/>
      <c r="PQI154" s="14"/>
      <c r="PQJ154" s="14"/>
      <c r="PQK154" s="14"/>
      <c r="PQL154" s="14"/>
      <c r="PQM154" s="14"/>
      <c r="PQN154" s="14"/>
      <c r="PQO154" s="14"/>
      <c r="PQP154" s="14"/>
      <c r="PQQ154" s="14"/>
      <c r="PQR154" s="14"/>
      <c r="PQS154" s="14"/>
      <c r="PQT154" s="14"/>
      <c r="PQU154" s="14"/>
      <c r="PQV154" s="14"/>
      <c r="PQW154" s="14"/>
      <c r="PQX154" s="14"/>
      <c r="PQY154" s="14"/>
      <c r="PQZ154" s="14"/>
      <c r="PRA154" s="14"/>
      <c r="PRB154" s="14"/>
      <c r="PRC154" s="14"/>
      <c r="PRD154" s="14"/>
      <c r="PRE154" s="14"/>
      <c r="PRF154" s="14"/>
      <c r="PRG154" s="14"/>
      <c r="PRH154" s="14"/>
      <c r="PRI154" s="14"/>
      <c r="PRJ154" s="14"/>
      <c r="PRK154" s="14"/>
      <c r="PRL154" s="14"/>
      <c r="PRM154" s="14"/>
      <c r="PRN154" s="14"/>
      <c r="PRO154" s="14"/>
      <c r="PRP154" s="14"/>
      <c r="PRQ154" s="14"/>
      <c r="PRR154" s="14"/>
      <c r="PRS154" s="14"/>
      <c r="PRT154" s="14"/>
      <c r="PRU154" s="14"/>
      <c r="PRV154" s="14"/>
      <c r="PRW154" s="14"/>
      <c r="PRX154" s="14"/>
      <c r="PRY154" s="14"/>
      <c r="PRZ154" s="14"/>
      <c r="PSA154" s="14"/>
      <c r="PSB154" s="14"/>
      <c r="PSC154" s="14"/>
      <c r="PSD154" s="14"/>
      <c r="PSE154" s="14"/>
      <c r="PSF154" s="14"/>
      <c r="PSG154" s="14"/>
      <c r="PSH154" s="14"/>
      <c r="PSI154" s="14"/>
      <c r="PSJ154" s="14"/>
      <c r="PSK154" s="14"/>
      <c r="PSL154" s="14"/>
      <c r="PSM154" s="14"/>
      <c r="PSN154" s="14"/>
      <c r="PSO154" s="14"/>
      <c r="PSP154" s="14"/>
      <c r="PSQ154" s="14"/>
      <c r="PSR154" s="14"/>
      <c r="PSS154" s="14"/>
      <c r="PST154" s="14"/>
      <c r="PSU154" s="14"/>
      <c r="PSV154" s="14"/>
      <c r="PSW154" s="14"/>
      <c r="PSX154" s="14"/>
      <c r="PSY154" s="14"/>
      <c r="PSZ154" s="14"/>
      <c r="PTA154" s="14"/>
      <c r="PTB154" s="14"/>
      <c r="PTC154" s="14"/>
      <c r="PTD154" s="14"/>
      <c r="PTE154" s="14"/>
      <c r="PTF154" s="14"/>
      <c r="PTG154" s="14"/>
      <c r="PTH154" s="14"/>
      <c r="PTI154" s="14"/>
      <c r="PTJ154" s="14"/>
      <c r="PTK154" s="14"/>
      <c r="PTL154" s="14"/>
      <c r="PTM154" s="14"/>
      <c r="PTN154" s="14"/>
      <c r="PTO154" s="14"/>
      <c r="PTP154" s="14"/>
      <c r="PTQ154" s="14"/>
      <c r="PTR154" s="14"/>
      <c r="PTS154" s="14"/>
      <c r="PTT154" s="14"/>
      <c r="PTU154" s="14"/>
      <c r="PTV154" s="14"/>
      <c r="PTW154" s="14"/>
      <c r="PTX154" s="14"/>
      <c r="PTY154" s="14"/>
      <c r="PTZ154" s="14"/>
      <c r="PUA154" s="14"/>
      <c r="PUB154" s="14"/>
      <c r="PUC154" s="14"/>
      <c r="PUD154" s="14"/>
      <c r="PUE154" s="14"/>
      <c r="PUF154" s="14"/>
      <c r="PUG154" s="14"/>
      <c r="PUH154" s="14"/>
      <c r="PUI154" s="14"/>
      <c r="PUJ154" s="14"/>
      <c r="PUK154" s="14"/>
      <c r="PUL154" s="14"/>
      <c r="PUM154" s="14"/>
      <c r="PUN154" s="14"/>
      <c r="PUO154" s="14"/>
      <c r="PUP154" s="14"/>
      <c r="PUQ154" s="14"/>
      <c r="PUR154" s="14"/>
      <c r="PUS154" s="14"/>
      <c r="PUT154" s="14"/>
      <c r="PUU154" s="14"/>
      <c r="PUV154" s="14"/>
      <c r="PUW154" s="14"/>
      <c r="PUX154" s="14"/>
      <c r="PUY154" s="14"/>
      <c r="PUZ154" s="14"/>
      <c r="PVA154" s="14"/>
      <c r="PVB154" s="14"/>
      <c r="PVC154" s="14"/>
      <c r="PVD154" s="14"/>
      <c r="PVE154" s="14"/>
      <c r="PVF154" s="14"/>
      <c r="PVG154" s="14"/>
      <c r="PVH154" s="14"/>
      <c r="PVI154" s="14"/>
      <c r="PVJ154" s="14"/>
      <c r="PVK154" s="14"/>
      <c r="PVL154" s="14"/>
      <c r="PVM154" s="14"/>
      <c r="PVN154" s="14"/>
      <c r="PVO154" s="14"/>
      <c r="PVP154" s="14"/>
      <c r="PVQ154" s="14"/>
      <c r="PVR154" s="14"/>
      <c r="PVS154" s="14"/>
      <c r="PVT154" s="14"/>
      <c r="PVU154" s="14"/>
      <c r="PVV154" s="14"/>
      <c r="PVW154" s="14"/>
      <c r="PVX154" s="14"/>
      <c r="PVY154" s="14"/>
      <c r="PVZ154" s="14"/>
      <c r="PWA154" s="14"/>
      <c r="PWB154" s="14"/>
      <c r="PWC154" s="14"/>
      <c r="PWD154" s="14"/>
      <c r="PWE154" s="14"/>
      <c r="PWF154" s="14"/>
      <c r="PWG154" s="14"/>
      <c r="PWH154" s="14"/>
      <c r="PWI154" s="14"/>
      <c r="PWJ154" s="14"/>
      <c r="PWK154" s="14"/>
      <c r="PWL154" s="14"/>
      <c r="PWM154" s="14"/>
      <c r="PWN154" s="14"/>
      <c r="PWO154" s="14"/>
      <c r="PWP154" s="14"/>
      <c r="PWQ154" s="14"/>
      <c r="PWR154" s="14"/>
      <c r="PWS154" s="14"/>
      <c r="PWT154" s="14"/>
      <c r="PWU154" s="14"/>
      <c r="PWV154" s="14"/>
      <c r="PWW154" s="14"/>
      <c r="PWX154" s="14"/>
      <c r="PWY154" s="14"/>
      <c r="PWZ154" s="14"/>
      <c r="PXA154" s="14"/>
      <c r="PXB154" s="14"/>
      <c r="PXC154" s="14"/>
      <c r="PXD154" s="14"/>
      <c r="PXE154" s="14"/>
      <c r="PXF154" s="14"/>
      <c r="PXG154" s="14"/>
      <c r="PXH154" s="14"/>
      <c r="PXI154" s="14"/>
      <c r="PXJ154" s="14"/>
      <c r="PXK154" s="14"/>
      <c r="PXL154" s="14"/>
      <c r="PXM154" s="14"/>
      <c r="PXN154" s="14"/>
      <c r="PXO154" s="14"/>
      <c r="PXP154" s="14"/>
      <c r="PXQ154" s="14"/>
      <c r="PXR154" s="14"/>
      <c r="PXS154" s="14"/>
      <c r="PXT154" s="14"/>
      <c r="PXU154" s="14"/>
      <c r="PXV154" s="14"/>
      <c r="PXW154" s="14"/>
      <c r="PXX154" s="14"/>
      <c r="PXY154" s="14"/>
      <c r="PXZ154" s="14"/>
      <c r="PYA154" s="14"/>
      <c r="PYB154" s="14"/>
      <c r="PYC154" s="14"/>
      <c r="PYD154" s="14"/>
      <c r="PYE154" s="14"/>
      <c r="PYF154" s="14"/>
      <c r="PYG154" s="14"/>
      <c r="PYH154" s="14"/>
      <c r="PYI154" s="14"/>
      <c r="PYJ154" s="14"/>
      <c r="PYK154" s="14"/>
      <c r="PYL154" s="14"/>
      <c r="PYM154" s="14"/>
      <c r="PYN154" s="14"/>
      <c r="PYO154" s="14"/>
      <c r="PYP154" s="14"/>
      <c r="PYQ154" s="14"/>
      <c r="PYR154" s="14"/>
      <c r="PYS154" s="14"/>
      <c r="PYT154" s="14"/>
      <c r="PYU154" s="14"/>
      <c r="PYV154" s="14"/>
      <c r="PYW154" s="14"/>
      <c r="PYX154" s="14"/>
      <c r="PYY154" s="14"/>
      <c r="PYZ154" s="14"/>
      <c r="PZA154" s="14"/>
      <c r="PZB154" s="14"/>
      <c r="PZC154" s="14"/>
      <c r="PZD154" s="14"/>
      <c r="PZE154" s="14"/>
      <c r="PZF154" s="14"/>
      <c r="PZG154" s="14"/>
      <c r="PZH154" s="14"/>
      <c r="PZI154" s="14"/>
      <c r="PZJ154" s="14"/>
      <c r="PZK154" s="14"/>
      <c r="PZL154" s="14"/>
      <c r="PZM154" s="14"/>
      <c r="PZN154" s="14"/>
      <c r="PZO154" s="14"/>
      <c r="PZP154" s="14"/>
      <c r="PZQ154" s="14"/>
      <c r="PZR154" s="14"/>
      <c r="PZS154" s="14"/>
      <c r="PZT154" s="14"/>
      <c r="PZU154" s="14"/>
      <c r="PZV154" s="14"/>
      <c r="PZW154" s="14"/>
      <c r="PZX154" s="14"/>
      <c r="PZY154" s="14"/>
      <c r="PZZ154" s="14"/>
      <c r="QAA154" s="14"/>
      <c r="QAB154" s="14"/>
      <c r="QAC154" s="14"/>
      <c r="QAD154" s="14"/>
      <c r="QAE154" s="14"/>
      <c r="QAF154" s="14"/>
      <c r="QAG154" s="14"/>
      <c r="QAH154" s="14"/>
      <c r="QAI154" s="14"/>
      <c r="QAJ154" s="14"/>
      <c r="QAK154" s="14"/>
      <c r="QAL154" s="14"/>
      <c r="QAM154" s="14"/>
      <c r="QAN154" s="14"/>
      <c r="QAO154" s="14"/>
      <c r="QAP154" s="14"/>
      <c r="QAQ154" s="14"/>
      <c r="QAR154" s="14"/>
      <c r="QAS154" s="14"/>
      <c r="QAT154" s="14"/>
      <c r="QAU154" s="14"/>
      <c r="QAV154" s="14"/>
      <c r="QAW154" s="14"/>
      <c r="QAX154" s="14"/>
      <c r="QAY154" s="14"/>
      <c r="QAZ154" s="14"/>
      <c r="QBA154" s="14"/>
      <c r="QBB154" s="14"/>
      <c r="QBC154" s="14"/>
      <c r="QBD154" s="14"/>
      <c r="QBE154" s="14"/>
      <c r="QBF154" s="14"/>
      <c r="QBG154" s="14"/>
      <c r="QBH154" s="14"/>
      <c r="QBI154" s="14"/>
      <c r="QBJ154" s="14"/>
      <c r="QBK154" s="14"/>
      <c r="QBL154" s="14"/>
      <c r="QBM154" s="14"/>
      <c r="QBN154" s="14"/>
      <c r="QBO154" s="14"/>
      <c r="QBP154" s="14"/>
      <c r="QBQ154" s="14"/>
      <c r="QBR154" s="14"/>
      <c r="QBS154" s="14"/>
      <c r="QBT154" s="14"/>
      <c r="QBU154" s="14"/>
      <c r="QBV154" s="14"/>
      <c r="QBW154" s="14"/>
      <c r="QBX154" s="14"/>
      <c r="QBY154" s="14"/>
      <c r="QBZ154" s="14"/>
      <c r="QCA154" s="14"/>
      <c r="QCB154" s="14"/>
      <c r="QCC154" s="14"/>
      <c r="QCD154" s="14"/>
      <c r="QCE154" s="14"/>
      <c r="QCF154" s="14"/>
      <c r="QCG154" s="14"/>
      <c r="QCH154" s="14"/>
      <c r="QCI154" s="14"/>
      <c r="QCJ154" s="14"/>
      <c r="QCK154" s="14"/>
      <c r="QCL154" s="14"/>
      <c r="QCM154" s="14"/>
      <c r="QCN154" s="14"/>
      <c r="QCO154" s="14"/>
      <c r="QCP154" s="14"/>
      <c r="QCQ154" s="14"/>
      <c r="QCR154" s="14"/>
      <c r="QCS154" s="14"/>
      <c r="QCT154" s="14"/>
      <c r="QCU154" s="14"/>
      <c r="QCV154" s="14"/>
      <c r="QCW154" s="14"/>
      <c r="QCX154" s="14"/>
      <c r="QCY154" s="14"/>
      <c r="QCZ154" s="14"/>
      <c r="QDA154" s="14"/>
      <c r="QDB154" s="14"/>
      <c r="QDC154" s="14"/>
      <c r="QDD154" s="14"/>
      <c r="QDE154" s="14"/>
      <c r="QDF154" s="14"/>
      <c r="QDG154" s="14"/>
      <c r="QDH154" s="14"/>
      <c r="QDI154" s="14"/>
      <c r="QDJ154" s="14"/>
      <c r="QDK154" s="14"/>
      <c r="QDL154" s="14"/>
      <c r="QDM154" s="14"/>
      <c r="QDN154" s="14"/>
      <c r="QDO154" s="14"/>
      <c r="QDP154" s="14"/>
      <c r="QDQ154" s="14"/>
      <c r="QDR154" s="14"/>
      <c r="QDS154" s="14"/>
      <c r="QDT154" s="14"/>
      <c r="QDU154" s="14"/>
      <c r="QDV154" s="14"/>
      <c r="QDW154" s="14"/>
      <c r="QDX154" s="14"/>
      <c r="QDY154" s="14"/>
      <c r="QDZ154" s="14"/>
      <c r="QEA154" s="14"/>
      <c r="QEB154" s="14"/>
      <c r="QEC154" s="14"/>
      <c r="QED154" s="14"/>
      <c r="QEE154" s="14"/>
      <c r="QEF154" s="14"/>
      <c r="QEG154" s="14"/>
      <c r="QEH154" s="14"/>
      <c r="QEI154" s="14"/>
      <c r="QEJ154" s="14"/>
      <c r="QEK154" s="14"/>
      <c r="QEL154" s="14"/>
      <c r="QEM154" s="14"/>
      <c r="QEN154" s="14"/>
      <c r="QEO154" s="14"/>
      <c r="QEP154" s="14"/>
      <c r="QEQ154" s="14"/>
      <c r="QER154" s="14"/>
      <c r="QES154" s="14"/>
      <c r="QET154" s="14"/>
      <c r="QEU154" s="14"/>
      <c r="QEV154" s="14"/>
      <c r="QEW154" s="14"/>
      <c r="QEX154" s="14"/>
      <c r="QEY154" s="14"/>
      <c r="QEZ154" s="14"/>
      <c r="QFA154" s="14"/>
      <c r="QFB154" s="14"/>
      <c r="QFC154" s="14"/>
      <c r="QFD154" s="14"/>
      <c r="QFE154" s="14"/>
      <c r="QFF154" s="14"/>
      <c r="QFG154" s="14"/>
      <c r="QFH154" s="14"/>
      <c r="QFI154" s="14"/>
      <c r="QFJ154" s="14"/>
      <c r="QFK154" s="14"/>
      <c r="QFL154" s="14"/>
      <c r="QFM154" s="14"/>
      <c r="QFN154" s="14"/>
      <c r="QFO154" s="14"/>
      <c r="QFP154" s="14"/>
      <c r="QFQ154" s="14"/>
      <c r="QFR154" s="14"/>
      <c r="QFS154" s="14"/>
      <c r="QFT154" s="14"/>
      <c r="QFU154" s="14"/>
      <c r="QFV154" s="14"/>
      <c r="QFW154" s="14"/>
      <c r="QFX154" s="14"/>
      <c r="QFY154" s="14"/>
      <c r="QFZ154" s="14"/>
      <c r="QGA154" s="14"/>
      <c r="QGB154" s="14"/>
      <c r="QGC154" s="14"/>
      <c r="QGD154" s="14"/>
      <c r="QGE154" s="14"/>
      <c r="QGF154" s="14"/>
      <c r="QGG154" s="14"/>
      <c r="QGH154" s="14"/>
      <c r="QGI154" s="14"/>
      <c r="QGJ154" s="14"/>
      <c r="QGK154" s="14"/>
      <c r="QGL154" s="14"/>
      <c r="QGM154" s="14"/>
      <c r="QGN154" s="14"/>
      <c r="QGO154" s="14"/>
      <c r="QGP154" s="14"/>
      <c r="QGQ154" s="14"/>
      <c r="QGR154" s="14"/>
      <c r="QGS154" s="14"/>
      <c r="QGT154" s="14"/>
      <c r="QGU154" s="14"/>
      <c r="QGV154" s="14"/>
      <c r="QGW154" s="14"/>
      <c r="QGX154" s="14"/>
      <c r="QGY154" s="14"/>
      <c r="QGZ154" s="14"/>
      <c r="QHA154" s="14"/>
      <c r="QHB154" s="14"/>
      <c r="QHC154" s="14"/>
      <c r="QHD154" s="14"/>
      <c r="QHE154" s="14"/>
      <c r="QHF154" s="14"/>
      <c r="QHG154" s="14"/>
      <c r="QHH154" s="14"/>
      <c r="QHI154" s="14"/>
      <c r="QHJ154" s="14"/>
      <c r="QHK154" s="14"/>
      <c r="QHL154" s="14"/>
      <c r="QHM154" s="14"/>
      <c r="QHN154" s="14"/>
      <c r="QHO154" s="14"/>
      <c r="QHP154" s="14"/>
      <c r="QHQ154" s="14"/>
      <c r="QHR154" s="14"/>
      <c r="QHS154" s="14"/>
      <c r="QHT154" s="14"/>
      <c r="QHU154" s="14"/>
      <c r="QHV154" s="14"/>
      <c r="QHW154" s="14"/>
      <c r="QHX154" s="14"/>
      <c r="QHY154" s="14"/>
      <c r="QHZ154" s="14"/>
      <c r="QIA154" s="14"/>
      <c r="QIB154" s="14"/>
      <c r="QIC154" s="14"/>
      <c r="QID154" s="14"/>
      <c r="QIE154" s="14"/>
      <c r="QIF154" s="14"/>
      <c r="QIG154" s="14"/>
      <c r="QIH154" s="14"/>
      <c r="QII154" s="14"/>
      <c r="QIJ154" s="14"/>
      <c r="QIK154" s="14"/>
      <c r="QIL154" s="14"/>
      <c r="QIM154" s="14"/>
      <c r="QIN154" s="14"/>
      <c r="QIO154" s="14"/>
      <c r="QIP154" s="14"/>
      <c r="QIQ154" s="14"/>
      <c r="QIR154" s="14"/>
      <c r="QIS154" s="14"/>
      <c r="QIT154" s="14"/>
      <c r="QIU154" s="14"/>
      <c r="QIV154" s="14"/>
      <c r="QIW154" s="14"/>
      <c r="QIX154" s="14"/>
      <c r="QIY154" s="14"/>
      <c r="QIZ154" s="14"/>
      <c r="QJA154" s="14"/>
      <c r="QJB154" s="14"/>
      <c r="QJC154" s="14"/>
      <c r="QJD154" s="14"/>
      <c r="QJE154" s="14"/>
      <c r="QJF154" s="14"/>
      <c r="QJG154" s="14"/>
      <c r="QJH154" s="14"/>
      <c r="QJI154" s="14"/>
      <c r="QJJ154" s="14"/>
      <c r="QJK154" s="14"/>
      <c r="QJL154" s="14"/>
      <c r="QJM154" s="14"/>
      <c r="QJN154" s="14"/>
      <c r="QJO154" s="14"/>
      <c r="QJP154" s="14"/>
      <c r="QJQ154" s="14"/>
      <c r="QJR154" s="14"/>
      <c r="QJS154" s="14"/>
      <c r="QJT154" s="14"/>
      <c r="QJU154" s="14"/>
      <c r="QJV154" s="14"/>
      <c r="QJW154" s="14"/>
      <c r="QJX154" s="14"/>
      <c r="QJY154" s="14"/>
      <c r="QJZ154" s="14"/>
      <c r="QKA154" s="14"/>
      <c r="QKB154" s="14"/>
      <c r="QKC154" s="14"/>
      <c r="QKD154" s="14"/>
      <c r="QKE154" s="14"/>
      <c r="QKF154" s="14"/>
      <c r="QKG154" s="14"/>
      <c r="QKH154" s="14"/>
      <c r="QKI154" s="14"/>
      <c r="QKJ154" s="14"/>
      <c r="QKK154" s="14"/>
      <c r="QKL154" s="14"/>
      <c r="QKM154" s="14"/>
      <c r="QKN154" s="14"/>
      <c r="QKO154" s="14"/>
      <c r="QKP154" s="14"/>
      <c r="QKQ154" s="14"/>
      <c r="QKR154" s="14"/>
      <c r="QKS154" s="14"/>
      <c r="QKT154" s="14"/>
      <c r="QKU154" s="14"/>
      <c r="QKV154" s="14"/>
      <c r="QKW154" s="14"/>
      <c r="QKX154" s="14"/>
      <c r="QKY154" s="14"/>
      <c r="QKZ154" s="14"/>
      <c r="QLA154" s="14"/>
      <c r="QLB154" s="14"/>
      <c r="QLC154" s="14"/>
      <c r="QLD154" s="14"/>
      <c r="QLE154" s="14"/>
      <c r="QLF154" s="14"/>
      <c r="QLG154" s="14"/>
      <c r="QLH154" s="14"/>
      <c r="QLI154" s="14"/>
      <c r="QLJ154" s="14"/>
      <c r="QLK154" s="14"/>
      <c r="QLL154" s="14"/>
      <c r="QLM154" s="14"/>
      <c r="QLN154" s="14"/>
      <c r="QLO154" s="14"/>
      <c r="QLP154" s="14"/>
      <c r="QLQ154" s="14"/>
      <c r="QLR154" s="14"/>
      <c r="QLS154" s="14"/>
      <c r="QLT154" s="14"/>
      <c r="QLU154" s="14"/>
      <c r="QLV154" s="14"/>
      <c r="QLW154" s="14"/>
      <c r="QLX154" s="14"/>
      <c r="QLY154" s="14"/>
      <c r="QLZ154" s="14"/>
      <c r="QMA154" s="14"/>
      <c r="QMB154" s="14"/>
      <c r="QMC154" s="14"/>
      <c r="QMD154" s="14"/>
      <c r="QME154" s="14"/>
      <c r="QMF154" s="14"/>
      <c r="QMG154" s="14"/>
      <c r="QMH154" s="14"/>
      <c r="QMI154" s="14"/>
      <c r="QMJ154" s="14"/>
      <c r="QMK154" s="14"/>
      <c r="QML154" s="14"/>
      <c r="QMM154" s="14"/>
      <c r="QMN154" s="14"/>
      <c r="QMO154" s="14"/>
      <c r="QMP154" s="14"/>
      <c r="QMQ154" s="14"/>
      <c r="QMR154" s="14"/>
      <c r="QMS154" s="14"/>
      <c r="QMT154" s="14"/>
      <c r="QMU154" s="14"/>
      <c r="QMV154" s="14"/>
      <c r="QMW154" s="14"/>
      <c r="QMX154" s="14"/>
      <c r="QMY154" s="14"/>
      <c r="QMZ154" s="14"/>
      <c r="QNA154" s="14"/>
      <c r="QNB154" s="14"/>
      <c r="QNC154" s="14"/>
      <c r="QND154" s="14"/>
      <c r="QNE154" s="14"/>
      <c r="QNF154" s="14"/>
      <c r="QNG154" s="14"/>
      <c r="QNH154" s="14"/>
      <c r="QNI154" s="14"/>
      <c r="QNJ154" s="14"/>
      <c r="QNK154" s="14"/>
      <c r="QNL154" s="14"/>
      <c r="QNM154" s="14"/>
      <c r="QNN154" s="14"/>
      <c r="QNO154" s="14"/>
      <c r="QNP154" s="14"/>
      <c r="QNQ154" s="14"/>
      <c r="QNR154" s="14"/>
      <c r="QNS154" s="14"/>
      <c r="QNT154" s="14"/>
      <c r="QNU154" s="14"/>
      <c r="QNV154" s="14"/>
      <c r="QNW154" s="14"/>
      <c r="QNX154" s="14"/>
      <c r="QNY154" s="14"/>
      <c r="QNZ154" s="14"/>
      <c r="QOA154" s="14"/>
      <c r="QOB154" s="14"/>
      <c r="QOC154" s="14"/>
      <c r="QOD154" s="14"/>
      <c r="QOE154" s="14"/>
      <c r="QOF154" s="14"/>
      <c r="QOG154" s="14"/>
      <c r="QOH154" s="14"/>
      <c r="QOI154" s="14"/>
      <c r="QOJ154" s="14"/>
      <c r="QOK154" s="14"/>
      <c r="QOL154" s="14"/>
      <c r="QOM154" s="14"/>
      <c r="QON154" s="14"/>
      <c r="QOO154" s="14"/>
      <c r="QOP154" s="14"/>
      <c r="QOQ154" s="14"/>
      <c r="QOR154" s="14"/>
      <c r="QOS154" s="14"/>
      <c r="QOT154" s="14"/>
      <c r="QOU154" s="14"/>
      <c r="QOV154" s="14"/>
      <c r="QOW154" s="14"/>
      <c r="QOX154" s="14"/>
      <c r="QOY154" s="14"/>
      <c r="QOZ154" s="14"/>
      <c r="QPA154" s="14"/>
      <c r="QPB154" s="14"/>
      <c r="QPC154" s="14"/>
      <c r="QPD154" s="14"/>
      <c r="QPE154" s="14"/>
      <c r="QPF154" s="14"/>
      <c r="QPG154" s="14"/>
      <c r="QPH154" s="14"/>
      <c r="QPI154" s="14"/>
      <c r="QPJ154" s="14"/>
      <c r="QPK154" s="14"/>
      <c r="QPL154" s="14"/>
      <c r="QPM154" s="14"/>
      <c r="QPN154" s="14"/>
      <c r="QPO154" s="14"/>
      <c r="QPP154" s="14"/>
      <c r="QPQ154" s="14"/>
      <c r="QPR154" s="14"/>
      <c r="QPS154" s="14"/>
      <c r="QPT154" s="14"/>
      <c r="QPU154" s="14"/>
      <c r="QPV154" s="14"/>
      <c r="QPW154" s="14"/>
      <c r="QPX154" s="14"/>
      <c r="QPY154" s="14"/>
      <c r="QPZ154" s="14"/>
      <c r="QQA154" s="14"/>
      <c r="QQB154" s="14"/>
      <c r="QQC154" s="14"/>
      <c r="QQD154" s="14"/>
      <c r="QQE154" s="14"/>
      <c r="QQF154" s="14"/>
      <c r="QQG154" s="14"/>
      <c r="QQH154" s="14"/>
      <c r="QQI154" s="14"/>
      <c r="QQJ154" s="14"/>
      <c r="QQK154" s="14"/>
      <c r="QQL154" s="14"/>
      <c r="QQM154" s="14"/>
      <c r="QQN154" s="14"/>
      <c r="QQO154" s="14"/>
      <c r="QQP154" s="14"/>
      <c r="QQQ154" s="14"/>
      <c r="QQR154" s="14"/>
      <c r="QQS154" s="14"/>
      <c r="QQT154" s="14"/>
      <c r="QQU154" s="14"/>
      <c r="QQV154" s="14"/>
      <c r="QQW154" s="14"/>
      <c r="QQX154" s="14"/>
      <c r="QQY154" s="14"/>
      <c r="QQZ154" s="14"/>
      <c r="QRA154" s="14"/>
      <c r="QRB154" s="14"/>
      <c r="QRC154" s="14"/>
      <c r="QRD154" s="14"/>
      <c r="QRE154" s="14"/>
      <c r="QRF154" s="14"/>
      <c r="QRG154" s="14"/>
      <c r="QRH154" s="14"/>
      <c r="QRI154" s="14"/>
      <c r="QRJ154" s="14"/>
      <c r="QRK154" s="14"/>
      <c r="QRL154" s="14"/>
      <c r="QRM154" s="14"/>
      <c r="QRN154" s="14"/>
      <c r="QRO154" s="14"/>
      <c r="QRP154" s="14"/>
      <c r="QRQ154" s="14"/>
      <c r="QRR154" s="14"/>
      <c r="QRS154" s="14"/>
      <c r="QRT154" s="14"/>
      <c r="QRU154" s="14"/>
      <c r="QRV154" s="14"/>
      <c r="QRW154" s="14"/>
      <c r="QRX154" s="14"/>
      <c r="QRY154" s="14"/>
      <c r="QRZ154" s="14"/>
      <c r="QSA154" s="14"/>
      <c r="QSB154" s="14"/>
      <c r="QSC154" s="14"/>
      <c r="QSD154" s="14"/>
      <c r="QSE154" s="14"/>
      <c r="QSF154" s="14"/>
      <c r="QSG154" s="14"/>
      <c r="QSH154" s="14"/>
      <c r="QSI154" s="14"/>
      <c r="QSJ154" s="14"/>
      <c r="QSK154" s="14"/>
      <c r="QSL154" s="14"/>
      <c r="QSM154" s="14"/>
      <c r="QSN154" s="14"/>
      <c r="QSO154" s="14"/>
      <c r="QSP154" s="14"/>
      <c r="QSQ154" s="14"/>
      <c r="QSR154" s="14"/>
      <c r="QSS154" s="14"/>
      <c r="QST154" s="14"/>
      <c r="QSU154" s="14"/>
      <c r="QSV154" s="14"/>
      <c r="QSW154" s="14"/>
      <c r="QSX154" s="14"/>
      <c r="QSY154" s="14"/>
      <c r="QSZ154" s="14"/>
      <c r="QTA154" s="14"/>
      <c r="QTB154" s="14"/>
      <c r="QTC154" s="14"/>
      <c r="QTD154" s="14"/>
      <c r="QTE154" s="14"/>
      <c r="QTF154" s="14"/>
      <c r="QTG154" s="14"/>
      <c r="QTH154" s="14"/>
      <c r="QTI154" s="14"/>
      <c r="QTJ154" s="14"/>
      <c r="QTK154" s="14"/>
      <c r="QTL154" s="14"/>
      <c r="QTM154" s="14"/>
      <c r="QTN154" s="14"/>
      <c r="QTO154" s="14"/>
      <c r="QTP154" s="14"/>
      <c r="QTQ154" s="14"/>
      <c r="QTR154" s="14"/>
      <c r="QTS154" s="14"/>
      <c r="QTT154" s="14"/>
      <c r="QTU154" s="14"/>
      <c r="QTV154" s="14"/>
      <c r="QTW154" s="14"/>
      <c r="QTX154" s="14"/>
      <c r="QTY154" s="14"/>
      <c r="QTZ154" s="14"/>
      <c r="QUA154" s="14"/>
      <c r="QUB154" s="14"/>
      <c r="QUC154" s="14"/>
      <c r="QUD154" s="14"/>
      <c r="QUE154" s="14"/>
      <c r="QUF154" s="14"/>
      <c r="QUG154" s="14"/>
      <c r="QUH154" s="14"/>
      <c r="QUI154" s="14"/>
      <c r="QUJ154" s="14"/>
      <c r="QUK154" s="14"/>
      <c r="QUL154" s="14"/>
      <c r="QUM154" s="14"/>
      <c r="QUN154" s="14"/>
      <c r="QUO154" s="14"/>
      <c r="QUP154" s="14"/>
      <c r="QUQ154" s="14"/>
      <c r="QUR154" s="14"/>
      <c r="QUS154" s="14"/>
      <c r="QUT154" s="14"/>
      <c r="QUU154" s="14"/>
      <c r="QUV154" s="14"/>
      <c r="QUW154" s="14"/>
      <c r="QUX154" s="14"/>
      <c r="QUY154" s="14"/>
      <c r="QUZ154" s="14"/>
      <c r="QVA154" s="14"/>
      <c r="QVB154" s="14"/>
      <c r="QVC154" s="14"/>
      <c r="QVD154" s="14"/>
      <c r="QVE154" s="14"/>
      <c r="QVF154" s="14"/>
      <c r="QVG154" s="14"/>
      <c r="QVH154" s="14"/>
      <c r="QVI154" s="14"/>
      <c r="QVJ154" s="14"/>
      <c r="QVK154" s="14"/>
      <c r="QVL154" s="14"/>
      <c r="QVM154" s="14"/>
      <c r="QVN154" s="14"/>
      <c r="QVO154" s="14"/>
      <c r="QVP154" s="14"/>
      <c r="QVQ154" s="14"/>
      <c r="QVR154" s="14"/>
      <c r="QVS154" s="14"/>
      <c r="QVT154" s="14"/>
      <c r="QVU154" s="14"/>
      <c r="QVV154" s="14"/>
      <c r="QVW154" s="14"/>
      <c r="QVX154" s="14"/>
      <c r="QVY154" s="14"/>
      <c r="QVZ154" s="14"/>
      <c r="QWA154" s="14"/>
      <c r="QWB154" s="14"/>
      <c r="QWC154" s="14"/>
      <c r="QWD154" s="14"/>
      <c r="QWE154" s="14"/>
      <c r="QWF154" s="14"/>
      <c r="QWG154" s="14"/>
      <c r="QWH154" s="14"/>
      <c r="QWI154" s="14"/>
      <c r="QWJ154" s="14"/>
      <c r="QWK154" s="14"/>
      <c r="QWL154" s="14"/>
      <c r="QWM154" s="14"/>
      <c r="QWN154" s="14"/>
      <c r="QWO154" s="14"/>
      <c r="QWP154" s="14"/>
      <c r="QWQ154" s="14"/>
      <c r="QWR154" s="14"/>
      <c r="QWS154" s="14"/>
      <c r="QWT154" s="14"/>
      <c r="QWU154" s="14"/>
      <c r="QWV154" s="14"/>
      <c r="QWW154" s="14"/>
      <c r="QWX154" s="14"/>
      <c r="QWY154" s="14"/>
      <c r="QWZ154" s="14"/>
      <c r="QXA154" s="14"/>
      <c r="QXB154" s="14"/>
      <c r="QXC154" s="14"/>
      <c r="QXD154" s="14"/>
      <c r="QXE154" s="14"/>
      <c r="QXF154" s="14"/>
      <c r="QXG154" s="14"/>
      <c r="QXH154" s="14"/>
      <c r="QXI154" s="14"/>
      <c r="QXJ154" s="14"/>
      <c r="QXK154" s="14"/>
      <c r="QXL154" s="14"/>
      <c r="QXM154" s="14"/>
      <c r="QXN154" s="14"/>
      <c r="QXO154" s="14"/>
      <c r="QXP154" s="14"/>
      <c r="QXQ154" s="14"/>
      <c r="QXR154" s="14"/>
      <c r="QXS154" s="14"/>
      <c r="QXT154" s="14"/>
      <c r="QXU154" s="14"/>
      <c r="QXV154" s="14"/>
      <c r="QXW154" s="14"/>
      <c r="QXX154" s="14"/>
      <c r="QXY154" s="14"/>
      <c r="QXZ154" s="14"/>
      <c r="QYA154" s="14"/>
      <c r="QYB154" s="14"/>
      <c r="QYC154" s="14"/>
      <c r="QYD154" s="14"/>
      <c r="QYE154" s="14"/>
      <c r="QYF154" s="14"/>
      <c r="QYG154" s="14"/>
      <c r="QYH154" s="14"/>
      <c r="QYI154" s="14"/>
      <c r="QYJ154" s="14"/>
      <c r="QYK154" s="14"/>
      <c r="QYL154" s="14"/>
      <c r="QYM154" s="14"/>
      <c r="QYN154" s="14"/>
      <c r="QYO154" s="14"/>
      <c r="QYP154" s="14"/>
      <c r="QYQ154" s="14"/>
      <c r="QYR154" s="14"/>
      <c r="QYS154" s="14"/>
      <c r="QYT154" s="14"/>
      <c r="QYU154" s="14"/>
      <c r="QYV154" s="14"/>
      <c r="QYW154" s="14"/>
      <c r="QYX154" s="14"/>
      <c r="QYY154" s="14"/>
      <c r="QYZ154" s="14"/>
      <c r="QZA154" s="14"/>
      <c r="QZB154" s="14"/>
      <c r="QZC154" s="14"/>
      <c r="QZD154" s="14"/>
      <c r="QZE154" s="14"/>
      <c r="QZF154" s="14"/>
      <c r="QZG154" s="14"/>
      <c r="QZH154" s="14"/>
      <c r="QZI154" s="14"/>
      <c r="QZJ154" s="14"/>
      <c r="QZK154" s="14"/>
      <c r="QZL154" s="14"/>
      <c r="QZM154" s="14"/>
      <c r="QZN154" s="14"/>
      <c r="QZO154" s="14"/>
      <c r="QZP154" s="14"/>
      <c r="QZQ154" s="14"/>
      <c r="QZR154" s="14"/>
      <c r="QZS154" s="14"/>
      <c r="QZT154" s="14"/>
      <c r="QZU154" s="14"/>
      <c r="QZV154" s="14"/>
      <c r="QZW154" s="14"/>
      <c r="QZX154" s="14"/>
      <c r="QZY154" s="14"/>
      <c r="QZZ154" s="14"/>
      <c r="RAA154" s="14"/>
      <c r="RAB154" s="14"/>
      <c r="RAC154" s="14"/>
      <c r="RAD154" s="14"/>
      <c r="RAE154" s="14"/>
      <c r="RAF154" s="14"/>
      <c r="RAG154" s="14"/>
      <c r="RAH154" s="14"/>
      <c r="RAI154" s="14"/>
      <c r="RAJ154" s="14"/>
      <c r="RAK154" s="14"/>
      <c r="RAL154" s="14"/>
      <c r="RAM154" s="14"/>
      <c r="RAN154" s="14"/>
      <c r="RAO154" s="14"/>
      <c r="RAP154" s="14"/>
      <c r="RAQ154" s="14"/>
      <c r="RAR154" s="14"/>
      <c r="RAS154" s="14"/>
      <c r="RAT154" s="14"/>
      <c r="RAU154" s="14"/>
      <c r="RAV154" s="14"/>
      <c r="RAW154" s="14"/>
      <c r="RAX154" s="14"/>
      <c r="RAY154" s="14"/>
      <c r="RAZ154" s="14"/>
      <c r="RBA154" s="14"/>
      <c r="RBB154" s="14"/>
      <c r="RBC154" s="14"/>
      <c r="RBD154" s="14"/>
      <c r="RBE154" s="14"/>
      <c r="RBF154" s="14"/>
      <c r="RBG154" s="14"/>
      <c r="RBH154" s="14"/>
      <c r="RBI154" s="14"/>
      <c r="RBJ154" s="14"/>
      <c r="RBK154" s="14"/>
      <c r="RBL154" s="14"/>
      <c r="RBM154" s="14"/>
      <c r="RBN154" s="14"/>
      <c r="RBO154" s="14"/>
      <c r="RBP154" s="14"/>
      <c r="RBQ154" s="14"/>
      <c r="RBR154" s="14"/>
      <c r="RBS154" s="14"/>
      <c r="RBT154" s="14"/>
      <c r="RBU154" s="14"/>
      <c r="RBV154" s="14"/>
      <c r="RBW154" s="14"/>
      <c r="RBX154" s="14"/>
      <c r="RBY154" s="14"/>
      <c r="RBZ154" s="14"/>
      <c r="RCA154" s="14"/>
      <c r="RCB154" s="14"/>
      <c r="RCC154" s="14"/>
      <c r="RCD154" s="14"/>
      <c r="RCE154" s="14"/>
      <c r="RCF154" s="14"/>
      <c r="RCG154" s="14"/>
      <c r="RCH154" s="14"/>
      <c r="RCI154" s="14"/>
      <c r="RCJ154" s="14"/>
      <c r="RCK154" s="14"/>
      <c r="RCL154" s="14"/>
      <c r="RCM154" s="14"/>
      <c r="RCN154" s="14"/>
      <c r="RCO154" s="14"/>
      <c r="RCP154" s="14"/>
      <c r="RCQ154" s="14"/>
      <c r="RCR154" s="14"/>
      <c r="RCS154" s="14"/>
      <c r="RCT154" s="14"/>
      <c r="RCU154" s="14"/>
      <c r="RCV154" s="14"/>
      <c r="RCW154" s="14"/>
      <c r="RCX154" s="14"/>
      <c r="RCY154" s="14"/>
      <c r="RCZ154" s="14"/>
      <c r="RDA154" s="14"/>
      <c r="RDB154" s="14"/>
      <c r="RDC154" s="14"/>
      <c r="RDD154" s="14"/>
      <c r="RDE154" s="14"/>
      <c r="RDF154" s="14"/>
      <c r="RDG154" s="14"/>
      <c r="RDH154" s="14"/>
      <c r="RDI154" s="14"/>
      <c r="RDJ154" s="14"/>
      <c r="RDK154" s="14"/>
      <c r="RDL154" s="14"/>
      <c r="RDM154" s="14"/>
      <c r="RDN154" s="14"/>
      <c r="RDO154" s="14"/>
      <c r="RDP154" s="14"/>
      <c r="RDQ154" s="14"/>
      <c r="RDR154" s="14"/>
      <c r="RDS154" s="14"/>
      <c r="RDT154" s="14"/>
      <c r="RDU154" s="14"/>
      <c r="RDV154" s="14"/>
      <c r="RDW154" s="14"/>
      <c r="RDX154" s="14"/>
      <c r="RDY154" s="14"/>
      <c r="RDZ154" s="14"/>
      <c r="REA154" s="14"/>
      <c r="REB154" s="14"/>
      <c r="REC154" s="14"/>
      <c r="RED154" s="14"/>
      <c r="REE154" s="14"/>
      <c r="REF154" s="14"/>
      <c r="REG154" s="14"/>
      <c r="REH154" s="14"/>
      <c r="REI154" s="14"/>
      <c r="REJ154" s="14"/>
      <c r="REK154" s="14"/>
      <c r="REL154" s="14"/>
      <c r="REM154" s="14"/>
      <c r="REN154" s="14"/>
      <c r="REO154" s="14"/>
      <c r="REP154" s="14"/>
      <c r="REQ154" s="14"/>
      <c r="RER154" s="14"/>
      <c r="RES154" s="14"/>
      <c r="RET154" s="14"/>
      <c r="REU154" s="14"/>
      <c r="REV154" s="14"/>
      <c r="REW154" s="14"/>
      <c r="REX154" s="14"/>
      <c r="REY154" s="14"/>
      <c r="REZ154" s="14"/>
      <c r="RFA154" s="14"/>
      <c r="RFB154" s="14"/>
      <c r="RFC154" s="14"/>
      <c r="RFD154" s="14"/>
      <c r="RFE154" s="14"/>
      <c r="RFF154" s="14"/>
      <c r="RFG154" s="14"/>
      <c r="RFH154" s="14"/>
      <c r="RFI154" s="14"/>
      <c r="RFJ154" s="14"/>
      <c r="RFK154" s="14"/>
      <c r="RFL154" s="14"/>
      <c r="RFM154" s="14"/>
      <c r="RFN154" s="14"/>
      <c r="RFO154" s="14"/>
      <c r="RFP154" s="14"/>
      <c r="RFQ154" s="14"/>
      <c r="RFR154" s="14"/>
      <c r="RFS154" s="14"/>
      <c r="RFT154" s="14"/>
      <c r="RFU154" s="14"/>
      <c r="RFV154" s="14"/>
      <c r="RFW154" s="14"/>
      <c r="RFX154" s="14"/>
      <c r="RFY154" s="14"/>
      <c r="RFZ154" s="14"/>
      <c r="RGA154" s="14"/>
      <c r="RGB154" s="14"/>
      <c r="RGC154" s="14"/>
      <c r="RGD154" s="14"/>
      <c r="RGE154" s="14"/>
      <c r="RGF154" s="14"/>
      <c r="RGG154" s="14"/>
      <c r="RGH154" s="14"/>
      <c r="RGI154" s="14"/>
      <c r="RGJ154" s="14"/>
      <c r="RGK154" s="14"/>
      <c r="RGL154" s="14"/>
      <c r="RGM154" s="14"/>
      <c r="RGN154" s="14"/>
      <c r="RGO154" s="14"/>
      <c r="RGP154" s="14"/>
      <c r="RGQ154" s="14"/>
      <c r="RGR154" s="14"/>
      <c r="RGS154" s="14"/>
      <c r="RGT154" s="14"/>
      <c r="RGU154" s="14"/>
      <c r="RGV154" s="14"/>
      <c r="RGW154" s="14"/>
      <c r="RGX154" s="14"/>
      <c r="RGY154" s="14"/>
      <c r="RGZ154" s="14"/>
      <c r="RHA154" s="14"/>
      <c r="RHB154" s="14"/>
      <c r="RHC154" s="14"/>
      <c r="RHD154" s="14"/>
      <c r="RHE154" s="14"/>
      <c r="RHF154" s="14"/>
      <c r="RHG154" s="14"/>
      <c r="RHH154" s="14"/>
      <c r="RHI154" s="14"/>
      <c r="RHJ154" s="14"/>
      <c r="RHK154" s="14"/>
      <c r="RHL154" s="14"/>
      <c r="RHM154" s="14"/>
      <c r="RHN154" s="14"/>
      <c r="RHO154" s="14"/>
      <c r="RHP154" s="14"/>
      <c r="RHQ154" s="14"/>
      <c r="RHR154" s="14"/>
      <c r="RHS154" s="14"/>
      <c r="RHT154" s="14"/>
      <c r="RHU154" s="14"/>
      <c r="RHV154" s="14"/>
      <c r="RHW154" s="14"/>
      <c r="RHX154" s="14"/>
      <c r="RHY154" s="14"/>
      <c r="RHZ154" s="14"/>
      <c r="RIA154" s="14"/>
      <c r="RIB154" s="14"/>
      <c r="RIC154" s="14"/>
      <c r="RID154" s="14"/>
      <c r="RIE154" s="14"/>
      <c r="RIF154" s="14"/>
      <c r="RIG154" s="14"/>
      <c r="RIH154" s="14"/>
      <c r="RII154" s="14"/>
      <c r="RIJ154" s="14"/>
      <c r="RIK154" s="14"/>
      <c r="RIL154" s="14"/>
      <c r="RIM154" s="14"/>
      <c r="RIN154" s="14"/>
      <c r="RIO154" s="14"/>
      <c r="RIP154" s="14"/>
      <c r="RIQ154" s="14"/>
      <c r="RIR154" s="14"/>
      <c r="RIS154" s="14"/>
      <c r="RIT154" s="14"/>
      <c r="RIU154" s="14"/>
      <c r="RIV154" s="14"/>
      <c r="RIW154" s="14"/>
      <c r="RIX154" s="14"/>
      <c r="RIY154" s="14"/>
      <c r="RIZ154" s="14"/>
      <c r="RJA154" s="14"/>
      <c r="RJB154" s="14"/>
      <c r="RJC154" s="14"/>
      <c r="RJD154" s="14"/>
      <c r="RJE154" s="14"/>
      <c r="RJF154" s="14"/>
      <c r="RJG154" s="14"/>
      <c r="RJH154" s="14"/>
      <c r="RJI154" s="14"/>
      <c r="RJJ154" s="14"/>
      <c r="RJK154" s="14"/>
      <c r="RJL154" s="14"/>
      <c r="RJM154" s="14"/>
      <c r="RJN154" s="14"/>
      <c r="RJO154" s="14"/>
      <c r="RJP154" s="14"/>
      <c r="RJQ154" s="14"/>
      <c r="RJR154" s="14"/>
      <c r="RJS154" s="14"/>
      <c r="RJT154" s="14"/>
      <c r="RJU154" s="14"/>
      <c r="RJV154" s="14"/>
      <c r="RJW154" s="14"/>
      <c r="RJX154" s="14"/>
      <c r="RJY154" s="14"/>
      <c r="RJZ154" s="14"/>
      <c r="RKA154" s="14"/>
      <c r="RKB154" s="14"/>
      <c r="RKC154" s="14"/>
      <c r="RKD154" s="14"/>
      <c r="RKE154" s="14"/>
      <c r="RKF154" s="14"/>
      <c r="RKG154" s="14"/>
      <c r="RKH154" s="14"/>
      <c r="RKI154" s="14"/>
      <c r="RKJ154" s="14"/>
      <c r="RKK154" s="14"/>
      <c r="RKL154" s="14"/>
      <c r="RKM154" s="14"/>
      <c r="RKN154" s="14"/>
      <c r="RKO154" s="14"/>
      <c r="RKP154" s="14"/>
      <c r="RKQ154" s="14"/>
      <c r="RKR154" s="14"/>
      <c r="RKS154" s="14"/>
      <c r="RKT154" s="14"/>
      <c r="RKU154" s="14"/>
      <c r="RKV154" s="14"/>
      <c r="RKW154" s="14"/>
      <c r="RKX154" s="14"/>
      <c r="RKY154" s="14"/>
      <c r="RKZ154" s="14"/>
      <c r="RLA154" s="14"/>
      <c r="RLB154" s="14"/>
      <c r="RLC154" s="14"/>
      <c r="RLD154" s="14"/>
      <c r="RLE154" s="14"/>
      <c r="RLF154" s="14"/>
      <c r="RLG154" s="14"/>
      <c r="RLH154" s="14"/>
      <c r="RLI154" s="14"/>
      <c r="RLJ154" s="14"/>
      <c r="RLK154" s="14"/>
      <c r="RLL154" s="14"/>
      <c r="RLM154" s="14"/>
      <c r="RLN154" s="14"/>
      <c r="RLO154" s="14"/>
      <c r="RLP154" s="14"/>
      <c r="RLQ154" s="14"/>
      <c r="RLR154" s="14"/>
      <c r="RLS154" s="14"/>
      <c r="RLT154" s="14"/>
      <c r="RLU154" s="14"/>
      <c r="RLV154" s="14"/>
      <c r="RLW154" s="14"/>
      <c r="RLX154" s="14"/>
      <c r="RLY154" s="14"/>
      <c r="RLZ154" s="14"/>
      <c r="RMA154" s="14"/>
      <c r="RMB154" s="14"/>
      <c r="RMC154" s="14"/>
      <c r="RMD154" s="14"/>
      <c r="RME154" s="14"/>
      <c r="RMF154" s="14"/>
      <c r="RMG154" s="14"/>
      <c r="RMH154" s="14"/>
      <c r="RMI154" s="14"/>
      <c r="RMJ154" s="14"/>
      <c r="RMK154" s="14"/>
      <c r="RML154" s="14"/>
      <c r="RMM154" s="14"/>
      <c r="RMN154" s="14"/>
      <c r="RMO154" s="14"/>
      <c r="RMP154" s="14"/>
      <c r="RMQ154" s="14"/>
      <c r="RMR154" s="14"/>
      <c r="RMS154" s="14"/>
      <c r="RMT154" s="14"/>
      <c r="RMU154" s="14"/>
      <c r="RMV154" s="14"/>
      <c r="RMW154" s="14"/>
      <c r="RMX154" s="14"/>
      <c r="RMY154" s="14"/>
      <c r="RMZ154" s="14"/>
      <c r="RNA154" s="14"/>
      <c r="RNB154" s="14"/>
      <c r="RNC154" s="14"/>
      <c r="RND154" s="14"/>
      <c r="RNE154" s="14"/>
      <c r="RNF154" s="14"/>
      <c r="RNG154" s="14"/>
      <c r="RNH154" s="14"/>
      <c r="RNI154" s="14"/>
      <c r="RNJ154" s="14"/>
      <c r="RNK154" s="14"/>
      <c r="RNL154" s="14"/>
      <c r="RNM154" s="14"/>
      <c r="RNN154" s="14"/>
      <c r="RNO154" s="14"/>
      <c r="RNP154" s="14"/>
      <c r="RNQ154" s="14"/>
      <c r="RNR154" s="14"/>
      <c r="RNS154" s="14"/>
      <c r="RNT154" s="14"/>
      <c r="RNU154" s="14"/>
      <c r="RNV154" s="14"/>
      <c r="RNW154" s="14"/>
      <c r="RNX154" s="14"/>
      <c r="RNY154" s="14"/>
      <c r="RNZ154" s="14"/>
      <c r="ROA154" s="14"/>
      <c r="ROB154" s="14"/>
      <c r="ROC154" s="14"/>
      <c r="ROD154" s="14"/>
      <c r="ROE154" s="14"/>
      <c r="ROF154" s="14"/>
      <c r="ROG154" s="14"/>
      <c r="ROH154" s="14"/>
      <c r="ROI154" s="14"/>
      <c r="ROJ154" s="14"/>
      <c r="ROK154" s="14"/>
      <c r="ROL154" s="14"/>
      <c r="ROM154" s="14"/>
      <c r="RON154" s="14"/>
      <c r="ROO154" s="14"/>
      <c r="ROP154" s="14"/>
      <c r="ROQ154" s="14"/>
      <c r="ROR154" s="14"/>
      <c r="ROS154" s="14"/>
      <c r="ROT154" s="14"/>
      <c r="ROU154" s="14"/>
      <c r="ROV154" s="14"/>
      <c r="ROW154" s="14"/>
      <c r="ROX154" s="14"/>
      <c r="ROY154" s="14"/>
      <c r="ROZ154" s="14"/>
      <c r="RPA154" s="14"/>
      <c r="RPB154" s="14"/>
      <c r="RPC154" s="14"/>
      <c r="RPD154" s="14"/>
      <c r="RPE154" s="14"/>
      <c r="RPF154" s="14"/>
      <c r="RPG154" s="14"/>
      <c r="RPH154" s="14"/>
      <c r="RPI154" s="14"/>
      <c r="RPJ154" s="14"/>
      <c r="RPK154" s="14"/>
      <c r="RPL154" s="14"/>
      <c r="RPM154" s="14"/>
      <c r="RPN154" s="14"/>
      <c r="RPO154" s="14"/>
      <c r="RPP154" s="14"/>
      <c r="RPQ154" s="14"/>
      <c r="RPR154" s="14"/>
      <c r="RPS154" s="14"/>
      <c r="RPT154" s="14"/>
      <c r="RPU154" s="14"/>
      <c r="RPV154" s="14"/>
      <c r="RPW154" s="14"/>
      <c r="RPX154" s="14"/>
      <c r="RPY154" s="14"/>
      <c r="RPZ154" s="14"/>
      <c r="RQA154" s="14"/>
      <c r="RQB154" s="14"/>
      <c r="RQC154" s="14"/>
      <c r="RQD154" s="14"/>
      <c r="RQE154" s="14"/>
      <c r="RQF154" s="14"/>
      <c r="RQG154" s="14"/>
      <c r="RQH154" s="14"/>
      <c r="RQI154" s="14"/>
      <c r="RQJ154" s="14"/>
      <c r="RQK154" s="14"/>
      <c r="RQL154" s="14"/>
      <c r="RQM154" s="14"/>
      <c r="RQN154" s="14"/>
      <c r="RQO154" s="14"/>
      <c r="RQP154" s="14"/>
      <c r="RQQ154" s="14"/>
      <c r="RQR154" s="14"/>
      <c r="RQS154" s="14"/>
      <c r="RQT154" s="14"/>
      <c r="RQU154" s="14"/>
      <c r="RQV154" s="14"/>
      <c r="RQW154" s="14"/>
      <c r="RQX154" s="14"/>
      <c r="RQY154" s="14"/>
      <c r="RQZ154" s="14"/>
      <c r="RRA154" s="14"/>
      <c r="RRB154" s="14"/>
      <c r="RRC154" s="14"/>
      <c r="RRD154" s="14"/>
      <c r="RRE154" s="14"/>
      <c r="RRF154" s="14"/>
      <c r="RRG154" s="14"/>
      <c r="RRH154" s="14"/>
      <c r="RRI154" s="14"/>
      <c r="RRJ154" s="14"/>
      <c r="RRK154" s="14"/>
      <c r="RRL154" s="14"/>
      <c r="RRM154" s="14"/>
      <c r="RRN154" s="14"/>
      <c r="RRO154" s="14"/>
      <c r="RRP154" s="14"/>
      <c r="RRQ154" s="14"/>
      <c r="RRR154" s="14"/>
      <c r="RRS154" s="14"/>
      <c r="RRT154" s="14"/>
      <c r="RRU154" s="14"/>
      <c r="RRV154" s="14"/>
      <c r="RRW154" s="14"/>
      <c r="RRX154" s="14"/>
      <c r="RRY154" s="14"/>
      <c r="RRZ154" s="14"/>
      <c r="RSA154" s="14"/>
      <c r="RSB154" s="14"/>
      <c r="RSC154" s="14"/>
      <c r="RSD154" s="14"/>
      <c r="RSE154" s="14"/>
      <c r="RSF154" s="14"/>
      <c r="RSG154" s="14"/>
      <c r="RSH154" s="14"/>
      <c r="RSI154" s="14"/>
      <c r="RSJ154" s="14"/>
      <c r="RSK154" s="14"/>
      <c r="RSL154" s="14"/>
      <c r="RSM154" s="14"/>
      <c r="RSN154" s="14"/>
      <c r="RSO154" s="14"/>
      <c r="RSP154" s="14"/>
      <c r="RSQ154" s="14"/>
      <c r="RSR154" s="14"/>
      <c r="RSS154" s="14"/>
      <c r="RST154" s="14"/>
      <c r="RSU154" s="14"/>
      <c r="RSV154" s="14"/>
      <c r="RSW154" s="14"/>
      <c r="RSX154" s="14"/>
      <c r="RSY154" s="14"/>
      <c r="RSZ154" s="14"/>
      <c r="RTA154" s="14"/>
      <c r="RTB154" s="14"/>
      <c r="RTC154" s="14"/>
      <c r="RTD154" s="14"/>
      <c r="RTE154" s="14"/>
      <c r="RTF154" s="14"/>
      <c r="RTG154" s="14"/>
      <c r="RTH154" s="14"/>
      <c r="RTI154" s="14"/>
      <c r="RTJ154" s="14"/>
      <c r="RTK154" s="14"/>
      <c r="RTL154" s="14"/>
      <c r="RTM154" s="14"/>
      <c r="RTN154" s="14"/>
      <c r="RTO154" s="14"/>
      <c r="RTP154" s="14"/>
      <c r="RTQ154" s="14"/>
      <c r="RTR154" s="14"/>
      <c r="RTS154" s="14"/>
      <c r="RTT154" s="14"/>
      <c r="RTU154" s="14"/>
      <c r="RTV154" s="14"/>
      <c r="RTW154" s="14"/>
      <c r="RTX154" s="14"/>
      <c r="RTY154" s="14"/>
      <c r="RTZ154" s="14"/>
      <c r="RUA154" s="14"/>
      <c r="RUB154" s="14"/>
      <c r="RUC154" s="14"/>
      <c r="RUD154" s="14"/>
      <c r="RUE154" s="14"/>
      <c r="RUF154" s="14"/>
      <c r="RUG154" s="14"/>
      <c r="RUH154" s="14"/>
      <c r="RUI154" s="14"/>
      <c r="RUJ154" s="14"/>
      <c r="RUK154" s="14"/>
      <c r="RUL154" s="14"/>
      <c r="RUM154" s="14"/>
      <c r="RUN154" s="14"/>
      <c r="RUO154" s="14"/>
      <c r="RUP154" s="14"/>
      <c r="RUQ154" s="14"/>
      <c r="RUR154" s="14"/>
      <c r="RUS154" s="14"/>
      <c r="RUT154" s="14"/>
      <c r="RUU154" s="14"/>
      <c r="RUV154" s="14"/>
      <c r="RUW154" s="14"/>
      <c r="RUX154" s="14"/>
      <c r="RUY154" s="14"/>
      <c r="RUZ154" s="14"/>
      <c r="RVA154" s="14"/>
      <c r="RVB154" s="14"/>
      <c r="RVC154" s="14"/>
      <c r="RVD154" s="14"/>
      <c r="RVE154" s="14"/>
      <c r="RVF154" s="14"/>
      <c r="RVG154" s="14"/>
      <c r="RVH154" s="14"/>
      <c r="RVI154" s="14"/>
      <c r="RVJ154" s="14"/>
      <c r="RVK154" s="14"/>
      <c r="RVL154" s="14"/>
      <c r="RVM154" s="14"/>
      <c r="RVN154" s="14"/>
      <c r="RVO154" s="14"/>
      <c r="RVP154" s="14"/>
      <c r="RVQ154" s="14"/>
      <c r="RVR154" s="14"/>
      <c r="RVS154" s="14"/>
      <c r="RVT154" s="14"/>
      <c r="RVU154" s="14"/>
      <c r="RVV154" s="14"/>
      <c r="RVW154" s="14"/>
      <c r="RVX154" s="14"/>
      <c r="RVY154" s="14"/>
      <c r="RVZ154" s="14"/>
      <c r="RWA154" s="14"/>
      <c r="RWB154" s="14"/>
      <c r="RWC154" s="14"/>
      <c r="RWD154" s="14"/>
      <c r="RWE154" s="14"/>
      <c r="RWF154" s="14"/>
      <c r="RWG154" s="14"/>
      <c r="RWH154" s="14"/>
      <c r="RWI154" s="14"/>
      <c r="RWJ154" s="14"/>
      <c r="RWK154" s="14"/>
      <c r="RWL154" s="14"/>
      <c r="RWM154" s="14"/>
      <c r="RWN154" s="14"/>
      <c r="RWO154" s="14"/>
      <c r="RWP154" s="14"/>
      <c r="RWQ154" s="14"/>
      <c r="RWR154" s="14"/>
      <c r="RWS154" s="14"/>
      <c r="RWT154" s="14"/>
      <c r="RWU154" s="14"/>
      <c r="RWV154" s="14"/>
      <c r="RWW154" s="14"/>
      <c r="RWX154" s="14"/>
      <c r="RWY154" s="14"/>
      <c r="RWZ154" s="14"/>
      <c r="RXA154" s="14"/>
      <c r="RXB154" s="14"/>
      <c r="RXC154" s="14"/>
      <c r="RXD154" s="14"/>
      <c r="RXE154" s="14"/>
      <c r="RXF154" s="14"/>
      <c r="RXG154" s="14"/>
      <c r="RXH154" s="14"/>
      <c r="RXI154" s="14"/>
      <c r="RXJ154" s="14"/>
      <c r="RXK154" s="14"/>
      <c r="RXL154" s="14"/>
      <c r="RXM154" s="14"/>
      <c r="RXN154" s="14"/>
      <c r="RXO154" s="14"/>
      <c r="RXP154" s="14"/>
      <c r="RXQ154" s="14"/>
      <c r="RXR154" s="14"/>
      <c r="RXS154" s="14"/>
      <c r="RXT154" s="14"/>
      <c r="RXU154" s="14"/>
      <c r="RXV154" s="14"/>
      <c r="RXW154" s="14"/>
      <c r="RXX154" s="14"/>
      <c r="RXY154" s="14"/>
      <c r="RXZ154" s="14"/>
      <c r="RYA154" s="14"/>
      <c r="RYB154" s="14"/>
      <c r="RYC154" s="14"/>
      <c r="RYD154" s="14"/>
      <c r="RYE154" s="14"/>
      <c r="RYF154" s="14"/>
      <c r="RYG154" s="14"/>
      <c r="RYH154" s="14"/>
      <c r="RYI154" s="14"/>
      <c r="RYJ154" s="14"/>
      <c r="RYK154" s="14"/>
      <c r="RYL154" s="14"/>
      <c r="RYM154" s="14"/>
      <c r="RYN154" s="14"/>
      <c r="RYO154" s="14"/>
      <c r="RYP154" s="14"/>
      <c r="RYQ154" s="14"/>
      <c r="RYR154" s="14"/>
      <c r="RYS154" s="14"/>
      <c r="RYT154" s="14"/>
      <c r="RYU154" s="14"/>
      <c r="RYV154" s="14"/>
      <c r="RYW154" s="14"/>
      <c r="RYX154" s="14"/>
      <c r="RYY154" s="14"/>
      <c r="RYZ154" s="14"/>
      <c r="RZA154" s="14"/>
      <c r="RZB154" s="14"/>
      <c r="RZC154" s="14"/>
      <c r="RZD154" s="14"/>
      <c r="RZE154" s="14"/>
      <c r="RZF154" s="14"/>
      <c r="RZG154" s="14"/>
      <c r="RZH154" s="14"/>
      <c r="RZI154" s="14"/>
      <c r="RZJ154" s="14"/>
      <c r="RZK154" s="14"/>
      <c r="RZL154" s="14"/>
      <c r="RZM154" s="14"/>
      <c r="RZN154" s="14"/>
      <c r="RZO154" s="14"/>
      <c r="RZP154" s="14"/>
      <c r="RZQ154" s="14"/>
      <c r="RZR154" s="14"/>
      <c r="RZS154" s="14"/>
      <c r="RZT154" s="14"/>
      <c r="RZU154" s="14"/>
      <c r="RZV154" s="14"/>
      <c r="RZW154" s="14"/>
      <c r="RZX154" s="14"/>
      <c r="RZY154" s="14"/>
      <c r="RZZ154" s="14"/>
      <c r="SAA154" s="14"/>
      <c r="SAB154" s="14"/>
      <c r="SAC154" s="14"/>
      <c r="SAD154" s="14"/>
      <c r="SAE154" s="14"/>
      <c r="SAF154" s="14"/>
      <c r="SAG154" s="14"/>
      <c r="SAH154" s="14"/>
      <c r="SAI154" s="14"/>
      <c r="SAJ154" s="14"/>
      <c r="SAK154" s="14"/>
      <c r="SAL154" s="14"/>
      <c r="SAM154" s="14"/>
      <c r="SAN154" s="14"/>
      <c r="SAO154" s="14"/>
      <c r="SAP154" s="14"/>
      <c r="SAQ154" s="14"/>
      <c r="SAR154" s="14"/>
      <c r="SAS154" s="14"/>
      <c r="SAT154" s="14"/>
      <c r="SAU154" s="14"/>
      <c r="SAV154" s="14"/>
      <c r="SAW154" s="14"/>
      <c r="SAX154" s="14"/>
      <c r="SAY154" s="14"/>
      <c r="SAZ154" s="14"/>
      <c r="SBA154" s="14"/>
      <c r="SBB154" s="14"/>
      <c r="SBC154" s="14"/>
      <c r="SBD154" s="14"/>
      <c r="SBE154" s="14"/>
      <c r="SBF154" s="14"/>
      <c r="SBG154" s="14"/>
      <c r="SBH154" s="14"/>
      <c r="SBI154" s="14"/>
      <c r="SBJ154" s="14"/>
      <c r="SBK154" s="14"/>
      <c r="SBL154" s="14"/>
      <c r="SBM154" s="14"/>
      <c r="SBN154" s="14"/>
      <c r="SBO154" s="14"/>
      <c r="SBP154" s="14"/>
      <c r="SBQ154" s="14"/>
      <c r="SBR154" s="14"/>
      <c r="SBS154" s="14"/>
      <c r="SBT154" s="14"/>
      <c r="SBU154" s="14"/>
      <c r="SBV154" s="14"/>
      <c r="SBW154" s="14"/>
      <c r="SBX154" s="14"/>
      <c r="SBY154" s="14"/>
      <c r="SBZ154" s="14"/>
      <c r="SCA154" s="14"/>
      <c r="SCB154" s="14"/>
      <c r="SCC154" s="14"/>
      <c r="SCD154" s="14"/>
      <c r="SCE154" s="14"/>
      <c r="SCF154" s="14"/>
      <c r="SCG154" s="14"/>
      <c r="SCH154" s="14"/>
      <c r="SCI154" s="14"/>
      <c r="SCJ154" s="14"/>
      <c r="SCK154" s="14"/>
      <c r="SCL154" s="14"/>
      <c r="SCM154" s="14"/>
      <c r="SCN154" s="14"/>
      <c r="SCO154" s="14"/>
      <c r="SCP154" s="14"/>
      <c r="SCQ154" s="14"/>
      <c r="SCR154" s="14"/>
      <c r="SCS154" s="14"/>
      <c r="SCT154" s="14"/>
      <c r="SCU154" s="14"/>
      <c r="SCV154" s="14"/>
      <c r="SCW154" s="14"/>
      <c r="SCX154" s="14"/>
      <c r="SCY154" s="14"/>
      <c r="SCZ154" s="14"/>
      <c r="SDA154" s="14"/>
      <c r="SDB154" s="14"/>
      <c r="SDC154" s="14"/>
      <c r="SDD154" s="14"/>
      <c r="SDE154" s="14"/>
      <c r="SDF154" s="14"/>
      <c r="SDG154" s="14"/>
      <c r="SDH154" s="14"/>
      <c r="SDI154" s="14"/>
      <c r="SDJ154" s="14"/>
      <c r="SDK154" s="14"/>
      <c r="SDL154" s="14"/>
      <c r="SDM154" s="14"/>
      <c r="SDN154" s="14"/>
      <c r="SDO154" s="14"/>
      <c r="SDP154" s="14"/>
      <c r="SDQ154" s="14"/>
      <c r="SDR154" s="14"/>
      <c r="SDS154" s="14"/>
      <c r="SDT154" s="14"/>
      <c r="SDU154" s="14"/>
      <c r="SDV154" s="14"/>
      <c r="SDW154" s="14"/>
      <c r="SDX154" s="14"/>
      <c r="SDY154" s="14"/>
      <c r="SDZ154" s="14"/>
      <c r="SEA154" s="14"/>
      <c r="SEB154" s="14"/>
      <c r="SEC154" s="14"/>
      <c r="SED154" s="14"/>
      <c r="SEE154" s="14"/>
      <c r="SEF154" s="14"/>
      <c r="SEG154" s="14"/>
      <c r="SEH154" s="14"/>
      <c r="SEI154" s="14"/>
      <c r="SEJ154" s="14"/>
      <c r="SEK154" s="14"/>
      <c r="SEL154" s="14"/>
      <c r="SEM154" s="14"/>
      <c r="SEN154" s="14"/>
      <c r="SEO154" s="14"/>
      <c r="SEP154" s="14"/>
      <c r="SEQ154" s="14"/>
      <c r="SER154" s="14"/>
      <c r="SES154" s="14"/>
      <c r="SET154" s="14"/>
      <c r="SEU154" s="14"/>
      <c r="SEV154" s="14"/>
      <c r="SEW154" s="14"/>
      <c r="SEX154" s="14"/>
      <c r="SEY154" s="14"/>
      <c r="SEZ154" s="14"/>
      <c r="SFA154" s="14"/>
      <c r="SFB154" s="14"/>
      <c r="SFC154" s="14"/>
      <c r="SFD154" s="14"/>
      <c r="SFE154" s="14"/>
      <c r="SFF154" s="14"/>
      <c r="SFG154" s="14"/>
      <c r="SFH154" s="14"/>
      <c r="SFI154" s="14"/>
      <c r="SFJ154" s="14"/>
      <c r="SFK154" s="14"/>
      <c r="SFL154" s="14"/>
      <c r="SFM154" s="14"/>
      <c r="SFN154" s="14"/>
      <c r="SFO154" s="14"/>
      <c r="SFP154" s="14"/>
      <c r="SFQ154" s="14"/>
      <c r="SFR154" s="14"/>
      <c r="SFS154" s="14"/>
      <c r="SFT154" s="14"/>
      <c r="SFU154" s="14"/>
      <c r="SFV154" s="14"/>
      <c r="SFW154" s="14"/>
      <c r="SFX154" s="14"/>
      <c r="SFY154" s="14"/>
      <c r="SFZ154" s="14"/>
      <c r="SGA154" s="14"/>
      <c r="SGB154" s="14"/>
      <c r="SGC154" s="14"/>
      <c r="SGD154" s="14"/>
      <c r="SGE154" s="14"/>
      <c r="SGF154" s="14"/>
      <c r="SGG154" s="14"/>
      <c r="SGH154" s="14"/>
      <c r="SGI154" s="14"/>
      <c r="SGJ154" s="14"/>
      <c r="SGK154" s="14"/>
      <c r="SGL154" s="14"/>
      <c r="SGM154" s="14"/>
      <c r="SGN154" s="14"/>
      <c r="SGO154" s="14"/>
      <c r="SGP154" s="14"/>
      <c r="SGQ154" s="14"/>
      <c r="SGR154" s="14"/>
      <c r="SGS154" s="14"/>
      <c r="SGT154" s="14"/>
      <c r="SGU154" s="14"/>
      <c r="SGV154" s="14"/>
      <c r="SGW154" s="14"/>
      <c r="SGX154" s="14"/>
      <c r="SGY154" s="14"/>
      <c r="SGZ154" s="14"/>
      <c r="SHA154" s="14"/>
      <c r="SHB154" s="14"/>
      <c r="SHC154" s="14"/>
      <c r="SHD154" s="14"/>
      <c r="SHE154" s="14"/>
      <c r="SHF154" s="14"/>
      <c r="SHG154" s="14"/>
      <c r="SHH154" s="14"/>
      <c r="SHI154" s="14"/>
      <c r="SHJ154" s="14"/>
      <c r="SHK154" s="14"/>
      <c r="SHL154" s="14"/>
      <c r="SHM154" s="14"/>
      <c r="SHN154" s="14"/>
      <c r="SHO154" s="14"/>
      <c r="SHP154" s="14"/>
      <c r="SHQ154" s="14"/>
      <c r="SHR154" s="14"/>
      <c r="SHS154" s="14"/>
      <c r="SHT154" s="14"/>
      <c r="SHU154" s="14"/>
      <c r="SHV154" s="14"/>
      <c r="SHW154" s="14"/>
      <c r="SHX154" s="14"/>
      <c r="SHY154" s="14"/>
      <c r="SHZ154" s="14"/>
      <c r="SIA154" s="14"/>
      <c r="SIB154" s="14"/>
      <c r="SIC154" s="14"/>
      <c r="SID154" s="14"/>
      <c r="SIE154" s="14"/>
      <c r="SIF154" s="14"/>
      <c r="SIG154" s="14"/>
      <c r="SIH154" s="14"/>
      <c r="SII154" s="14"/>
      <c r="SIJ154" s="14"/>
      <c r="SIK154" s="14"/>
      <c r="SIL154" s="14"/>
      <c r="SIM154" s="14"/>
      <c r="SIN154" s="14"/>
      <c r="SIO154" s="14"/>
      <c r="SIP154" s="14"/>
      <c r="SIQ154" s="14"/>
      <c r="SIR154" s="14"/>
      <c r="SIS154" s="14"/>
      <c r="SIT154" s="14"/>
      <c r="SIU154" s="14"/>
      <c r="SIV154" s="14"/>
      <c r="SIW154" s="14"/>
      <c r="SIX154" s="14"/>
      <c r="SIY154" s="14"/>
      <c r="SIZ154" s="14"/>
      <c r="SJA154" s="14"/>
      <c r="SJB154" s="14"/>
      <c r="SJC154" s="14"/>
      <c r="SJD154" s="14"/>
      <c r="SJE154" s="14"/>
      <c r="SJF154" s="14"/>
      <c r="SJG154" s="14"/>
      <c r="SJH154" s="14"/>
      <c r="SJI154" s="14"/>
      <c r="SJJ154" s="14"/>
      <c r="SJK154" s="14"/>
      <c r="SJL154" s="14"/>
      <c r="SJM154" s="14"/>
      <c r="SJN154" s="14"/>
      <c r="SJO154" s="14"/>
      <c r="SJP154" s="14"/>
      <c r="SJQ154" s="14"/>
      <c r="SJR154" s="14"/>
      <c r="SJS154" s="14"/>
      <c r="SJT154" s="14"/>
      <c r="SJU154" s="14"/>
      <c r="SJV154" s="14"/>
      <c r="SJW154" s="14"/>
      <c r="SJX154" s="14"/>
      <c r="SJY154" s="14"/>
      <c r="SJZ154" s="14"/>
      <c r="SKA154" s="14"/>
      <c r="SKB154" s="14"/>
      <c r="SKC154" s="14"/>
      <c r="SKD154" s="14"/>
      <c r="SKE154" s="14"/>
      <c r="SKF154" s="14"/>
      <c r="SKG154" s="14"/>
      <c r="SKH154" s="14"/>
      <c r="SKI154" s="14"/>
      <c r="SKJ154" s="14"/>
      <c r="SKK154" s="14"/>
      <c r="SKL154" s="14"/>
      <c r="SKM154" s="14"/>
      <c r="SKN154" s="14"/>
      <c r="SKO154" s="14"/>
      <c r="SKP154" s="14"/>
      <c r="SKQ154" s="14"/>
      <c r="SKR154" s="14"/>
      <c r="SKS154" s="14"/>
      <c r="SKT154" s="14"/>
      <c r="SKU154" s="14"/>
      <c r="SKV154" s="14"/>
      <c r="SKW154" s="14"/>
      <c r="SKX154" s="14"/>
      <c r="SKY154" s="14"/>
      <c r="SKZ154" s="14"/>
      <c r="SLA154" s="14"/>
      <c r="SLB154" s="14"/>
      <c r="SLC154" s="14"/>
      <c r="SLD154" s="14"/>
      <c r="SLE154" s="14"/>
      <c r="SLF154" s="14"/>
      <c r="SLG154" s="14"/>
      <c r="SLH154" s="14"/>
      <c r="SLI154" s="14"/>
      <c r="SLJ154" s="14"/>
      <c r="SLK154" s="14"/>
      <c r="SLL154" s="14"/>
      <c r="SLM154" s="14"/>
      <c r="SLN154" s="14"/>
      <c r="SLO154" s="14"/>
      <c r="SLP154" s="14"/>
      <c r="SLQ154" s="14"/>
      <c r="SLR154" s="14"/>
      <c r="SLS154" s="14"/>
      <c r="SLT154" s="14"/>
      <c r="SLU154" s="14"/>
      <c r="SLV154" s="14"/>
      <c r="SLW154" s="14"/>
      <c r="SLX154" s="14"/>
      <c r="SLY154" s="14"/>
      <c r="SLZ154" s="14"/>
      <c r="SMA154" s="14"/>
      <c r="SMB154" s="14"/>
      <c r="SMC154" s="14"/>
      <c r="SMD154" s="14"/>
      <c r="SME154" s="14"/>
      <c r="SMF154" s="14"/>
      <c r="SMG154" s="14"/>
      <c r="SMH154" s="14"/>
      <c r="SMI154" s="14"/>
      <c r="SMJ154" s="14"/>
      <c r="SMK154" s="14"/>
      <c r="SML154" s="14"/>
      <c r="SMM154" s="14"/>
      <c r="SMN154" s="14"/>
      <c r="SMO154" s="14"/>
      <c r="SMP154" s="14"/>
      <c r="SMQ154" s="14"/>
      <c r="SMR154" s="14"/>
      <c r="SMS154" s="14"/>
      <c r="SMT154" s="14"/>
      <c r="SMU154" s="14"/>
      <c r="SMV154" s="14"/>
      <c r="SMW154" s="14"/>
      <c r="SMX154" s="14"/>
      <c r="SMY154" s="14"/>
      <c r="SMZ154" s="14"/>
      <c r="SNA154" s="14"/>
      <c r="SNB154" s="14"/>
      <c r="SNC154" s="14"/>
      <c r="SND154" s="14"/>
      <c r="SNE154" s="14"/>
      <c r="SNF154" s="14"/>
      <c r="SNG154" s="14"/>
      <c r="SNH154" s="14"/>
      <c r="SNI154" s="14"/>
      <c r="SNJ154" s="14"/>
      <c r="SNK154" s="14"/>
      <c r="SNL154" s="14"/>
      <c r="SNM154" s="14"/>
      <c r="SNN154" s="14"/>
      <c r="SNO154" s="14"/>
      <c r="SNP154" s="14"/>
      <c r="SNQ154" s="14"/>
      <c r="SNR154" s="14"/>
      <c r="SNS154" s="14"/>
      <c r="SNT154" s="14"/>
      <c r="SNU154" s="14"/>
      <c r="SNV154" s="14"/>
      <c r="SNW154" s="14"/>
      <c r="SNX154" s="14"/>
      <c r="SNY154" s="14"/>
      <c r="SNZ154" s="14"/>
      <c r="SOA154" s="14"/>
      <c r="SOB154" s="14"/>
      <c r="SOC154" s="14"/>
      <c r="SOD154" s="14"/>
      <c r="SOE154" s="14"/>
      <c r="SOF154" s="14"/>
      <c r="SOG154" s="14"/>
      <c r="SOH154" s="14"/>
      <c r="SOI154" s="14"/>
      <c r="SOJ154" s="14"/>
      <c r="SOK154" s="14"/>
      <c r="SOL154" s="14"/>
      <c r="SOM154" s="14"/>
      <c r="SON154" s="14"/>
      <c r="SOO154" s="14"/>
      <c r="SOP154" s="14"/>
      <c r="SOQ154" s="14"/>
      <c r="SOR154" s="14"/>
      <c r="SOS154" s="14"/>
      <c r="SOT154" s="14"/>
      <c r="SOU154" s="14"/>
      <c r="SOV154" s="14"/>
      <c r="SOW154" s="14"/>
      <c r="SOX154" s="14"/>
      <c r="SOY154" s="14"/>
      <c r="SOZ154" s="14"/>
      <c r="SPA154" s="14"/>
      <c r="SPB154" s="14"/>
      <c r="SPC154" s="14"/>
      <c r="SPD154" s="14"/>
      <c r="SPE154" s="14"/>
      <c r="SPF154" s="14"/>
      <c r="SPG154" s="14"/>
      <c r="SPH154" s="14"/>
      <c r="SPI154" s="14"/>
      <c r="SPJ154" s="14"/>
      <c r="SPK154" s="14"/>
      <c r="SPL154" s="14"/>
      <c r="SPM154" s="14"/>
      <c r="SPN154" s="14"/>
      <c r="SPO154" s="14"/>
      <c r="SPP154" s="14"/>
      <c r="SPQ154" s="14"/>
      <c r="SPR154" s="14"/>
      <c r="SPS154" s="14"/>
      <c r="SPT154" s="14"/>
      <c r="SPU154" s="14"/>
      <c r="SPV154" s="14"/>
      <c r="SPW154" s="14"/>
      <c r="SPX154" s="14"/>
      <c r="SPY154" s="14"/>
      <c r="SPZ154" s="14"/>
      <c r="SQA154" s="14"/>
      <c r="SQB154" s="14"/>
      <c r="SQC154" s="14"/>
      <c r="SQD154" s="14"/>
      <c r="SQE154" s="14"/>
      <c r="SQF154" s="14"/>
      <c r="SQG154" s="14"/>
      <c r="SQH154" s="14"/>
      <c r="SQI154" s="14"/>
      <c r="SQJ154" s="14"/>
      <c r="SQK154" s="14"/>
      <c r="SQL154" s="14"/>
      <c r="SQM154" s="14"/>
      <c r="SQN154" s="14"/>
      <c r="SQO154" s="14"/>
      <c r="SQP154" s="14"/>
      <c r="SQQ154" s="14"/>
      <c r="SQR154" s="14"/>
      <c r="SQS154" s="14"/>
      <c r="SQT154" s="14"/>
      <c r="SQU154" s="14"/>
      <c r="SQV154" s="14"/>
      <c r="SQW154" s="14"/>
      <c r="SQX154" s="14"/>
      <c r="SQY154" s="14"/>
      <c r="SQZ154" s="14"/>
      <c r="SRA154" s="14"/>
      <c r="SRB154" s="14"/>
      <c r="SRC154" s="14"/>
      <c r="SRD154" s="14"/>
      <c r="SRE154" s="14"/>
      <c r="SRF154" s="14"/>
      <c r="SRG154" s="14"/>
      <c r="SRH154" s="14"/>
      <c r="SRI154" s="14"/>
      <c r="SRJ154" s="14"/>
      <c r="SRK154" s="14"/>
      <c r="SRL154" s="14"/>
      <c r="SRM154" s="14"/>
      <c r="SRN154" s="14"/>
      <c r="SRO154" s="14"/>
      <c r="SRP154" s="14"/>
      <c r="SRQ154" s="14"/>
      <c r="SRR154" s="14"/>
      <c r="SRS154" s="14"/>
      <c r="SRT154" s="14"/>
      <c r="SRU154" s="14"/>
      <c r="SRV154" s="14"/>
      <c r="SRW154" s="14"/>
      <c r="SRX154" s="14"/>
      <c r="SRY154" s="14"/>
      <c r="SRZ154" s="14"/>
      <c r="SSA154" s="14"/>
      <c r="SSB154" s="14"/>
      <c r="SSC154" s="14"/>
      <c r="SSD154" s="14"/>
      <c r="SSE154" s="14"/>
      <c r="SSF154" s="14"/>
      <c r="SSG154" s="14"/>
      <c r="SSH154" s="14"/>
      <c r="SSI154" s="14"/>
      <c r="SSJ154" s="14"/>
      <c r="SSK154" s="14"/>
      <c r="SSL154" s="14"/>
      <c r="SSM154" s="14"/>
      <c r="SSN154" s="14"/>
      <c r="SSO154" s="14"/>
      <c r="SSP154" s="14"/>
      <c r="SSQ154" s="14"/>
      <c r="SSR154" s="14"/>
      <c r="SSS154" s="14"/>
      <c r="SST154" s="14"/>
      <c r="SSU154" s="14"/>
      <c r="SSV154" s="14"/>
      <c r="SSW154" s="14"/>
      <c r="SSX154" s="14"/>
      <c r="SSY154" s="14"/>
      <c r="SSZ154" s="14"/>
      <c r="STA154" s="14"/>
      <c r="STB154" s="14"/>
      <c r="STC154" s="14"/>
      <c r="STD154" s="14"/>
      <c r="STE154" s="14"/>
      <c r="STF154" s="14"/>
      <c r="STG154" s="14"/>
      <c r="STH154" s="14"/>
      <c r="STI154" s="14"/>
      <c r="STJ154" s="14"/>
      <c r="STK154" s="14"/>
      <c r="STL154" s="14"/>
      <c r="STM154" s="14"/>
      <c r="STN154" s="14"/>
      <c r="STO154" s="14"/>
      <c r="STP154" s="14"/>
      <c r="STQ154" s="14"/>
      <c r="STR154" s="14"/>
      <c r="STS154" s="14"/>
      <c r="STT154" s="14"/>
      <c r="STU154" s="14"/>
      <c r="STV154" s="14"/>
      <c r="STW154" s="14"/>
      <c r="STX154" s="14"/>
      <c r="STY154" s="14"/>
      <c r="STZ154" s="14"/>
      <c r="SUA154" s="14"/>
      <c r="SUB154" s="14"/>
      <c r="SUC154" s="14"/>
      <c r="SUD154" s="14"/>
      <c r="SUE154" s="14"/>
      <c r="SUF154" s="14"/>
      <c r="SUG154" s="14"/>
      <c r="SUH154" s="14"/>
      <c r="SUI154" s="14"/>
      <c r="SUJ154" s="14"/>
      <c r="SUK154" s="14"/>
      <c r="SUL154" s="14"/>
      <c r="SUM154" s="14"/>
      <c r="SUN154" s="14"/>
      <c r="SUO154" s="14"/>
      <c r="SUP154" s="14"/>
      <c r="SUQ154" s="14"/>
      <c r="SUR154" s="14"/>
      <c r="SUS154" s="14"/>
      <c r="SUT154" s="14"/>
      <c r="SUU154" s="14"/>
      <c r="SUV154" s="14"/>
      <c r="SUW154" s="14"/>
      <c r="SUX154" s="14"/>
      <c r="SUY154" s="14"/>
      <c r="SUZ154" s="14"/>
      <c r="SVA154" s="14"/>
      <c r="SVB154" s="14"/>
      <c r="SVC154" s="14"/>
      <c r="SVD154" s="14"/>
      <c r="SVE154" s="14"/>
      <c r="SVF154" s="14"/>
      <c r="SVG154" s="14"/>
      <c r="SVH154" s="14"/>
      <c r="SVI154" s="14"/>
      <c r="SVJ154" s="14"/>
      <c r="SVK154" s="14"/>
      <c r="SVL154" s="14"/>
      <c r="SVM154" s="14"/>
      <c r="SVN154" s="14"/>
      <c r="SVO154" s="14"/>
      <c r="SVP154" s="14"/>
      <c r="SVQ154" s="14"/>
      <c r="SVR154" s="14"/>
      <c r="SVS154" s="14"/>
      <c r="SVT154" s="14"/>
      <c r="SVU154" s="14"/>
      <c r="SVV154" s="14"/>
      <c r="SVW154" s="14"/>
      <c r="SVX154" s="14"/>
      <c r="SVY154" s="14"/>
      <c r="SVZ154" s="14"/>
      <c r="SWA154" s="14"/>
      <c r="SWB154" s="14"/>
      <c r="SWC154" s="14"/>
      <c r="SWD154" s="14"/>
      <c r="SWE154" s="14"/>
      <c r="SWF154" s="14"/>
      <c r="SWG154" s="14"/>
      <c r="SWH154" s="14"/>
      <c r="SWI154" s="14"/>
      <c r="SWJ154" s="14"/>
      <c r="SWK154" s="14"/>
      <c r="SWL154" s="14"/>
      <c r="SWM154" s="14"/>
      <c r="SWN154" s="14"/>
      <c r="SWO154" s="14"/>
      <c r="SWP154" s="14"/>
      <c r="SWQ154" s="14"/>
      <c r="SWR154" s="14"/>
      <c r="SWS154" s="14"/>
      <c r="SWT154" s="14"/>
      <c r="SWU154" s="14"/>
      <c r="SWV154" s="14"/>
      <c r="SWW154" s="14"/>
      <c r="SWX154" s="14"/>
      <c r="SWY154" s="14"/>
      <c r="SWZ154" s="14"/>
      <c r="SXA154" s="14"/>
      <c r="SXB154" s="14"/>
      <c r="SXC154" s="14"/>
      <c r="SXD154" s="14"/>
      <c r="SXE154" s="14"/>
      <c r="SXF154" s="14"/>
      <c r="SXG154" s="14"/>
      <c r="SXH154" s="14"/>
      <c r="SXI154" s="14"/>
      <c r="SXJ154" s="14"/>
      <c r="SXK154" s="14"/>
      <c r="SXL154" s="14"/>
      <c r="SXM154" s="14"/>
      <c r="SXN154" s="14"/>
      <c r="SXO154" s="14"/>
      <c r="SXP154" s="14"/>
      <c r="SXQ154" s="14"/>
      <c r="SXR154" s="14"/>
      <c r="SXS154" s="14"/>
      <c r="SXT154" s="14"/>
      <c r="SXU154" s="14"/>
      <c r="SXV154" s="14"/>
      <c r="SXW154" s="14"/>
      <c r="SXX154" s="14"/>
      <c r="SXY154" s="14"/>
      <c r="SXZ154" s="14"/>
      <c r="SYA154" s="14"/>
      <c r="SYB154" s="14"/>
      <c r="SYC154" s="14"/>
      <c r="SYD154" s="14"/>
      <c r="SYE154" s="14"/>
      <c r="SYF154" s="14"/>
      <c r="SYG154" s="14"/>
      <c r="SYH154" s="14"/>
      <c r="SYI154" s="14"/>
      <c r="SYJ154" s="14"/>
      <c r="SYK154" s="14"/>
      <c r="SYL154" s="14"/>
      <c r="SYM154" s="14"/>
      <c r="SYN154" s="14"/>
      <c r="SYO154" s="14"/>
      <c r="SYP154" s="14"/>
      <c r="SYQ154" s="14"/>
      <c r="SYR154" s="14"/>
      <c r="SYS154" s="14"/>
      <c r="SYT154" s="14"/>
      <c r="SYU154" s="14"/>
      <c r="SYV154" s="14"/>
      <c r="SYW154" s="14"/>
      <c r="SYX154" s="14"/>
      <c r="SYY154" s="14"/>
      <c r="SYZ154" s="14"/>
      <c r="SZA154" s="14"/>
      <c r="SZB154" s="14"/>
      <c r="SZC154" s="14"/>
      <c r="SZD154" s="14"/>
      <c r="SZE154" s="14"/>
      <c r="SZF154" s="14"/>
      <c r="SZG154" s="14"/>
      <c r="SZH154" s="14"/>
      <c r="SZI154" s="14"/>
      <c r="SZJ154" s="14"/>
      <c r="SZK154" s="14"/>
      <c r="SZL154" s="14"/>
      <c r="SZM154" s="14"/>
      <c r="SZN154" s="14"/>
      <c r="SZO154" s="14"/>
      <c r="SZP154" s="14"/>
      <c r="SZQ154" s="14"/>
      <c r="SZR154" s="14"/>
      <c r="SZS154" s="14"/>
      <c r="SZT154" s="14"/>
      <c r="SZU154" s="14"/>
      <c r="SZV154" s="14"/>
      <c r="SZW154" s="14"/>
      <c r="SZX154" s="14"/>
      <c r="SZY154" s="14"/>
      <c r="SZZ154" s="14"/>
      <c r="TAA154" s="14"/>
      <c r="TAB154" s="14"/>
      <c r="TAC154" s="14"/>
      <c r="TAD154" s="14"/>
      <c r="TAE154" s="14"/>
      <c r="TAF154" s="14"/>
      <c r="TAG154" s="14"/>
      <c r="TAH154" s="14"/>
      <c r="TAI154" s="14"/>
      <c r="TAJ154" s="14"/>
      <c r="TAK154" s="14"/>
      <c r="TAL154" s="14"/>
      <c r="TAM154" s="14"/>
      <c r="TAN154" s="14"/>
      <c r="TAO154" s="14"/>
      <c r="TAP154" s="14"/>
      <c r="TAQ154" s="14"/>
      <c r="TAR154" s="14"/>
      <c r="TAS154" s="14"/>
      <c r="TAT154" s="14"/>
      <c r="TAU154" s="14"/>
      <c r="TAV154" s="14"/>
      <c r="TAW154" s="14"/>
      <c r="TAX154" s="14"/>
      <c r="TAY154" s="14"/>
      <c r="TAZ154" s="14"/>
      <c r="TBA154" s="14"/>
      <c r="TBB154" s="14"/>
      <c r="TBC154" s="14"/>
      <c r="TBD154" s="14"/>
      <c r="TBE154" s="14"/>
      <c r="TBF154" s="14"/>
      <c r="TBG154" s="14"/>
      <c r="TBH154" s="14"/>
      <c r="TBI154" s="14"/>
      <c r="TBJ154" s="14"/>
      <c r="TBK154" s="14"/>
      <c r="TBL154" s="14"/>
      <c r="TBM154" s="14"/>
      <c r="TBN154" s="14"/>
      <c r="TBO154" s="14"/>
      <c r="TBP154" s="14"/>
      <c r="TBQ154" s="14"/>
      <c r="TBR154" s="14"/>
      <c r="TBS154" s="14"/>
      <c r="TBT154" s="14"/>
      <c r="TBU154" s="14"/>
      <c r="TBV154" s="14"/>
      <c r="TBW154" s="14"/>
      <c r="TBX154" s="14"/>
      <c r="TBY154" s="14"/>
      <c r="TBZ154" s="14"/>
      <c r="TCA154" s="14"/>
      <c r="TCB154" s="14"/>
      <c r="TCC154" s="14"/>
      <c r="TCD154" s="14"/>
      <c r="TCE154" s="14"/>
      <c r="TCF154" s="14"/>
      <c r="TCG154" s="14"/>
      <c r="TCH154" s="14"/>
      <c r="TCI154" s="14"/>
      <c r="TCJ154" s="14"/>
      <c r="TCK154" s="14"/>
      <c r="TCL154" s="14"/>
      <c r="TCM154" s="14"/>
      <c r="TCN154" s="14"/>
      <c r="TCO154" s="14"/>
      <c r="TCP154" s="14"/>
      <c r="TCQ154" s="14"/>
      <c r="TCR154" s="14"/>
      <c r="TCS154" s="14"/>
      <c r="TCT154" s="14"/>
      <c r="TCU154" s="14"/>
      <c r="TCV154" s="14"/>
      <c r="TCW154" s="14"/>
      <c r="TCX154" s="14"/>
      <c r="TCY154" s="14"/>
      <c r="TCZ154" s="14"/>
      <c r="TDA154" s="14"/>
      <c r="TDB154" s="14"/>
      <c r="TDC154" s="14"/>
      <c r="TDD154" s="14"/>
      <c r="TDE154" s="14"/>
      <c r="TDF154" s="14"/>
      <c r="TDG154" s="14"/>
      <c r="TDH154" s="14"/>
      <c r="TDI154" s="14"/>
      <c r="TDJ154" s="14"/>
      <c r="TDK154" s="14"/>
      <c r="TDL154" s="14"/>
      <c r="TDM154" s="14"/>
      <c r="TDN154" s="14"/>
      <c r="TDO154" s="14"/>
      <c r="TDP154" s="14"/>
      <c r="TDQ154" s="14"/>
      <c r="TDR154" s="14"/>
      <c r="TDS154" s="14"/>
      <c r="TDT154" s="14"/>
      <c r="TDU154" s="14"/>
      <c r="TDV154" s="14"/>
      <c r="TDW154" s="14"/>
      <c r="TDX154" s="14"/>
      <c r="TDY154" s="14"/>
      <c r="TDZ154" s="14"/>
      <c r="TEA154" s="14"/>
      <c r="TEB154" s="14"/>
      <c r="TEC154" s="14"/>
      <c r="TED154" s="14"/>
      <c r="TEE154" s="14"/>
      <c r="TEF154" s="14"/>
      <c r="TEG154" s="14"/>
      <c r="TEH154" s="14"/>
      <c r="TEI154" s="14"/>
      <c r="TEJ154" s="14"/>
      <c r="TEK154" s="14"/>
      <c r="TEL154" s="14"/>
      <c r="TEM154" s="14"/>
      <c r="TEN154" s="14"/>
      <c r="TEO154" s="14"/>
      <c r="TEP154" s="14"/>
      <c r="TEQ154" s="14"/>
      <c r="TER154" s="14"/>
      <c r="TES154" s="14"/>
      <c r="TET154" s="14"/>
      <c r="TEU154" s="14"/>
      <c r="TEV154" s="14"/>
      <c r="TEW154" s="14"/>
      <c r="TEX154" s="14"/>
      <c r="TEY154" s="14"/>
      <c r="TEZ154" s="14"/>
      <c r="TFA154" s="14"/>
      <c r="TFB154" s="14"/>
      <c r="TFC154" s="14"/>
      <c r="TFD154" s="14"/>
      <c r="TFE154" s="14"/>
      <c r="TFF154" s="14"/>
      <c r="TFG154" s="14"/>
      <c r="TFH154" s="14"/>
      <c r="TFI154" s="14"/>
      <c r="TFJ154" s="14"/>
      <c r="TFK154" s="14"/>
      <c r="TFL154" s="14"/>
      <c r="TFM154" s="14"/>
      <c r="TFN154" s="14"/>
      <c r="TFO154" s="14"/>
      <c r="TFP154" s="14"/>
      <c r="TFQ154" s="14"/>
      <c r="TFR154" s="14"/>
      <c r="TFS154" s="14"/>
      <c r="TFT154" s="14"/>
      <c r="TFU154" s="14"/>
      <c r="TFV154" s="14"/>
      <c r="TFW154" s="14"/>
      <c r="TFX154" s="14"/>
      <c r="TFY154" s="14"/>
      <c r="TFZ154" s="14"/>
      <c r="TGA154" s="14"/>
      <c r="TGB154" s="14"/>
      <c r="TGC154" s="14"/>
      <c r="TGD154" s="14"/>
      <c r="TGE154" s="14"/>
      <c r="TGF154" s="14"/>
      <c r="TGG154" s="14"/>
      <c r="TGH154" s="14"/>
      <c r="TGI154" s="14"/>
      <c r="TGJ154" s="14"/>
      <c r="TGK154" s="14"/>
      <c r="TGL154" s="14"/>
      <c r="TGM154" s="14"/>
      <c r="TGN154" s="14"/>
      <c r="TGO154" s="14"/>
      <c r="TGP154" s="14"/>
      <c r="TGQ154" s="14"/>
      <c r="TGR154" s="14"/>
      <c r="TGS154" s="14"/>
      <c r="TGT154" s="14"/>
      <c r="TGU154" s="14"/>
      <c r="TGV154" s="14"/>
      <c r="TGW154" s="14"/>
      <c r="TGX154" s="14"/>
      <c r="TGY154" s="14"/>
      <c r="TGZ154" s="14"/>
      <c r="THA154" s="14"/>
      <c r="THB154" s="14"/>
      <c r="THC154" s="14"/>
      <c r="THD154" s="14"/>
      <c r="THE154" s="14"/>
      <c r="THF154" s="14"/>
      <c r="THG154" s="14"/>
      <c r="THH154" s="14"/>
      <c r="THI154" s="14"/>
      <c r="THJ154" s="14"/>
      <c r="THK154" s="14"/>
      <c r="THL154" s="14"/>
      <c r="THM154" s="14"/>
      <c r="THN154" s="14"/>
      <c r="THO154" s="14"/>
      <c r="THP154" s="14"/>
      <c r="THQ154" s="14"/>
      <c r="THR154" s="14"/>
      <c r="THS154" s="14"/>
      <c r="THT154" s="14"/>
      <c r="THU154" s="14"/>
      <c r="THV154" s="14"/>
      <c r="THW154" s="14"/>
      <c r="THX154" s="14"/>
      <c r="THY154" s="14"/>
      <c r="THZ154" s="14"/>
      <c r="TIA154" s="14"/>
      <c r="TIB154" s="14"/>
      <c r="TIC154" s="14"/>
      <c r="TID154" s="14"/>
      <c r="TIE154" s="14"/>
      <c r="TIF154" s="14"/>
      <c r="TIG154" s="14"/>
      <c r="TIH154" s="14"/>
      <c r="TII154" s="14"/>
      <c r="TIJ154" s="14"/>
      <c r="TIK154" s="14"/>
      <c r="TIL154" s="14"/>
      <c r="TIM154" s="14"/>
      <c r="TIN154" s="14"/>
      <c r="TIO154" s="14"/>
      <c r="TIP154" s="14"/>
      <c r="TIQ154" s="14"/>
      <c r="TIR154" s="14"/>
      <c r="TIS154" s="14"/>
      <c r="TIT154" s="14"/>
      <c r="TIU154" s="14"/>
      <c r="TIV154" s="14"/>
      <c r="TIW154" s="14"/>
      <c r="TIX154" s="14"/>
      <c r="TIY154" s="14"/>
      <c r="TIZ154" s="14"/>
      <c r="TJA154" s="14"/>
      <c r="TJB154" s="14"/>
      <c r="TJC154" s="14"/>
      <c r="TJD154" s="14"/>
      <c r="TJE154" s="14"/>
      <c r="TJF154" s="14"/>
      <c r="TJG154" s="14"/>
      <c r="TJH154" s="14"/>
      <c r="TJI154" s="14"/>
      <c r="TJJ154" s="14"/>
      <c r="TJK154" s="14"/>
      <c r="TJL154" s="14"/>
      <c r="TJM154" s="14"/>
      <c r="TJN154" s="14"/>
      <c r="TJO154" s="14"/>
      <c r="TJP154" s="14"/>
      <c r="TJQ154" s="14"/>
      <c r="TJR154" s="14"/>
      <c r="TJS154" s="14"/>
      <c r="TJT154" s="14"/>
      <c r="TJU154" s="14"/>
      <c r="TJV154" s="14"/>
      <c r="TJW154" s="14"/>
      <c r="TJX154" s="14"/>
      <c r="TJY154" s="14"/>
      <c r="TJZ154" s="14"/>
      <c r="TKA154" s="14"/>
      <c r="TKB154" s="14"/>
      <c r="TKC154" s="14"/>
      <c r="TKD154" s="14"/>
      <c r="TKE154" s="14"/>
      <c r="TKF154" s="14"/>
      <c r="TKG154" s="14"/>
      <c r="TKH154" s="14"/>
      <c r="TKI154" s="14"/>
      <c r="TKJ154" s="14"/>
      <c r="TKK154" s="14"/>
      <c r="TKL154" s="14"/>
      <c r="TKM154" s="14"/>
      <c r="TKN154" s="14"/>
      <c r="TKO154" s="14"/>
      <c r="TKP154" s="14"/>
      <c r="TKQ154" s="14"/>
      <c r="TKR154" s="14"/>
      <c r="TKS154" s="14"/>
      <c r="TKT154" s="14"/>
      <c r="TKU154" s="14"/>
      <c r="TKV154" s="14"/>
      <c r="TKW154" s="14"/>
      <c r="TKX154" s="14"/>
      <c r="TKY154" s="14"/>
      <c r="TKZ154" s="14"/>
      <c r="TLA154" s="14"/>
      <c r="TLB154" s="14"/>
      <c r="TLC154" s="14"/>
      <c r="TLD154" s="14"/>
      <c r="TLE154" s="14"/>
      <c r="TLF154" s="14"/>
      <c r="TLG154" s="14"/>
      <c r="TLH154" s="14"/>
      <c r="TLI154" s="14"/>
      <c r="TLJ154" s="14"/>
      <c r="TLK154" s="14"/>
      <c r="TLL154" s="14"/>
      <c r="TLM154" s="14"/>
      <c r="TLN154" s="14"/>
      <c r="TLO154" s="14"/>
      <c r="TLP154" s="14"/>
      <c r="TLQ154" s="14"/>
      <c r="TLR154" s="14"/>
      <c r="TLS154" s="14"/>
      <c r="TLT154" s="14"/>
      <c r="TLU154" s="14"/>
      <c r="TLV154" s="14"/>
      <c r="TLW154" s="14"/>
      <c r="TLX154" s="14"/>
      <c r="TLY154" s="14"/>
      <c r="TLZ154" s="14"/>
      <c r="TMA154" s="14"/>
      <c r="TMB154" s="14"/>
      <c r="TMC154" s="14"/>
      <c r="TMD154" s="14"/>
      <c r="TME154" s="14"/>
      <c r="TMF154" s="14"/>
      <c r="TMG154" s="14"/>
      <c r="TMH154" s="14"/>
      <c r="TMI154" s="14"/>
      <c r="TMJ154" s="14"/>
      <c r="TMK154" s="14"/>
      <c r="TML154" s="14"/>
      <c r="TMM154" s="14"/>
      <c r="TMN154" s="14"/>
      <c r="TMO154" s="14"/>
      <c r="TMP154" s="14"/>
      <c r="TMQ154" s="14"/>
      <c r="TMR154" s="14"/>
      <c r="TMS154" s="14"/>
      <c r="TMT154" s="14"/>
      <c r="TMU154" s="14"/>
      <c r="TMV154" s="14"/>
      <c r="TMW154" s="14"/>
      <c r="TMX154" s="14"/>
      <c r="TMY154" s="14"/>
      <c r="TMZ154" s="14"/>
      <c r="TNA154" s="14"/>
      <c r="TNB154" s="14"/>
      <c r="TNC154" s="14"/>
      <c r="TND154" s="14"/>
      <c r="TNE154" s="14"/>
      <c r="TNF154" s="14"/>
      <c r="TNG154" s="14"/>
      <c r="TNH154" s="14"/>
      <c r="TNI154" s="14"/>
      <c r="TNJ154" s="14"/>
      <c r="TNK154" s="14"/>
      <c r="TNL154" s="14"/>
      <c r="TNM154" s="14"/>
      <c r="TNN154" s="14"/>
      <c r="TNO154" s="14"/>
      <c r="TNP154" s="14"/>
      <c r="TNQ154" s="14"/>
      <c r="TNR154" s="14"/>
      <c r="TNS154" s="14"/>
      <c r="TNT154" s="14"/>
      <c r="TNU154" s="14"/>
      <c r="TNV154" s="14"/>
      <c r="TNW154" s="14"/>
      <c r="TNX154" s="14"/>
      <c r="TNY154" s="14"/>
      <c r="TNZ154" s="14"/>
      <c r="TOA154" s="14"/>
      <c r="TOB154" s="14"/>
      <c r="TOC154" s="14"/>
      <c r="TOD154" s="14"/>
      <c r="TOE154" s="14"/>
      <c r="TOF154" s="14"/>
      <c r="TOG154" s="14"/>
      <c r="TOH154" s="14"/>
      <c r="TOI154" s="14"/>
      <c r="TOJ154" s="14"/>
      <c r="TOK154" s="14"/>
      <c r="TOL154" s="14"/>
      <c r="TOM154" s="14"/>
      <c r="TON154" s="14"/>
      <c r="TOO154" s="14"/>
      <c r="TOP154" s="14"/>
      <c r="TOQ154" s="14"/>
      <c r="TOR154" s="14"/>
      <c r="TOS154" s="14"/>
      <c r="TOT154" s="14"/>
      <c r="TOU154" s="14"/>
      <c r="TOV154" s="14"/>
      <c r="TOW154" s="14"/>
      <c r="TOX154" s="14"/>
      <c r="TOY154" s="14"/>
      <c r="TOZ154" s="14"/>
      <c r="TPA154" s="14"/>
      <c r="TPB154" s="14"/>
      <c r="TPC154" s="14"/>
      <c r="TPD154" s="14"/>
      <c r="TPE154" s="14"/>
      <c r="TPF154" s="14"/>
      <c r="TPG154" s="14"/>
      <c r="TPH154" s="14"/>
      <c r="TPI154" s="14"/>
      <c r="TPJ154" s="14"/>
      <c r="TPK154" s="14"/>
      <c r="TPL154" s="14"/>
      <c r="TPM154" s="14"/>
      <c r="TPN154" s="14"/>
      <c r="TPO154" s="14"/>
      <c r="TPP154" s="14"/>
      <c r="TPQ154" s="14"/>
      <c r="TPR154" s="14"/>
      <c r="TPS154" s="14"/>
      <c r="TPT154" s="14"/>
      <c r="TPU154" s="14"/>
      <c r="TPV154" s="14"/>
      <c r="TPW154" s="14"/>
      <c r="TPX154" s="14"/>
      <c r="TPY154" s="14"/>
      <c r="TPZ154" s="14"/>
      <c r="TQA154" s="14"/>
      <c r="TQB154" s="14"/>
      <c r="TQC154" s="14"/>
      <c r="TQD154" s="14"/>
      <c r="TQE154" s="14"/>
      <c r="TQF154" s="14"/>
      <c r="TQG154" s="14"/>
      <c r="TQH154" s="14"/>
      <c r="TQI154" s="14"/>
      <c r="TQJ154" s="14"/>
      <c r="TQK154" s="14"/>
      <c r="TQL154" s="14"/>
      <c r="TQM154" s="14"/>
      <c r="TQN154" s="14"/>
      <c r="TQO154" s="14"/>
      <c r="TQP154" s="14"/>
      <c r="TQQ154" s="14"/>
      <c r="TQR154" s="14"/>
      <c r="TQS154" s="14"/>
      <c r="TQT154" s="14"/>
      <c r="TQU154" s="14"/>
      <c r="TQV154" s="14"/>
      <c r="TQW154" s="14"/>
      <c r="TQX154" s="14"/>
      <c r="TQY154" s="14"/>
      <c r="TQZ154" s="14"/>
      <c r="TRA154" s="14"/>
      <c r="TRB154" s="14"/>
      <c r="TRC154" s="14"/>
      <c r="TRD154" s="14"/>
      <c r="TRE154" s="14"/>
      <c r="TRF154" s="14"/>
      <c r="TRG154" s="14"/>
      <c r="TRH154" s="14"/>
      <c r="TRI154" s="14"/>
      <c r="TRJ154" s="14"/>
      <c r="TRK154" s="14"/>
      <c r="TRL154" s="14"/>
      <c r="TRM154" s="14"/>
      <c r="TRN154" s="14"/>
      <c r="TRO154" s="14"/>
      <c r="TRP154" s="14"/>
      <c r="TRQ154" s="14"/>
      <c r="TRR154" s="14"/>
      <c r="TRS154" s="14"/>
      <c r="TRT154" s="14"/>
      <c r="TRU154" s="14"/>
      <c r="TRV154" s="14"/>
      <c r="TRW154" s="14"/>
      <c r="TRX154" s="14"/>
      <c r="TRY154" s="14"/>
      <c r="TRZ154" s="14"/>
      <c r="TSA154" s="14"/>
      <c r="TSB154" s="14"/>
      <c r="TSC154" s="14"/>
      <c r="TSD154" s="14"/>
      <c r="TSE154" s="14"/>
      <c r="TSF154" s="14"/>
      <c r="TSG154" s="14"/>
      <c r="TSH154" s="14"/>
      <c r="TSI154" s="14"/>
      <c r="TSJ154" s="14"/>
      <c r="TSK154" s="14"/>
      <c r="TSL154" s="14"/>
      <c r="TSM154" s="14"/>
      <c r="TSN154" s="14"/>
      <c r="TSO154" s="14"/>
      <c r="TSP154" s="14"/>
      <c r="TSQ154" s="14"/>
      <c r="TSR154" s="14"/>
      <c r="TSS154" s="14"/>
      <c r="TST154" s="14"/>
      <c r="TSU154" s="14"/>
      <c r="TSV154" s="14"/>
      <c r="TSW154" s="14"/>
      <c r="TSX154" s="14"/>
      <c r="TSY154" s="14"/>
      <c r="TSZ154" s="14"/>
      <c r="TTA154" s="14"/>
      <c r="TTB154" s="14"/>
      <c r="TTC154" s="14"/>
      <c r="TTD154" s="14"/>
      <c r="TTE154" s="14"/>
      <c r="TTF154" s="14"/>
      <c r="TTG154" s="14"/>
      <c r="TTH154" s="14"/>
      <c r="TTI154" s="14"/>
      <c r="TTJ154" s="14"/>
      <c r="TTK154" s="14"/>
      <c r="TTL154" s="14"/>
      <c r="TTM154" s="14"/>
      <c r="TTN154" s="14"/>
      <c r="TTO154" s="14"/>
      <c r="TTP154" s="14"/>
      <c r="TTQ154" s="14"/>
      <c r="TTR154" s="14"/>
      <c r="TTS154" s="14"/>
      <c r="TTT154" s="14"/>
      <c r="TTU154" s="14"/>
      <c r="TTV154" s="14"/>
      <c r="TTW154" s="14"/>
      <c r="TTX154" s="14"/>
      <c r="TTY154" s="14"/>
      <c r="TTZ154" s="14"/>
      <c r="TUA154" s="14"/>
      <c r="TUB154" s="14"/>
      <c r="TUC154" s="14"/>
      <c r="TUD154" s="14"/>
      <c r="TUE154" s="14"/>
      <c r="TUF154" s="14"/>
      <c r="TUG154" s="14"/>
      <c r="TUH154" s="14"/>
      <c r="TUI154" s="14"/>
      <c r="TUJ154" s="14"/>
      <c r="TUK154" s="14"/>
      <c r="TUL154" s="14"/>
      <c r="TUM154" s="14"/>
      <c r="TUN154" s="14"/>
      <c r="TUO154" s="14"/>
      <c r="TUP154" s="14"/>
      <c r="TUQ154" s="14"/>
      <c r="TUR154" s="14"/>
      <c r="TUS154" s="14"/>
      <c r="TUT154" s="14"/>
      <c r="TUU154" s="14"/>
      <c r="TUV154" s="14"/>
      <c r="TUW154" s="14"/>
      <c r="TUX154" s="14"/>
      <c r="TUY154" s="14"/>
      <c r="TUZ154" s="14"/>
      <c r="TVA154" s="14"/>
      <c r="TVB154" s="14"/>
      <c r="TVC154" s="14"/>
      <c r="TVD154" s="14"/>
      <c r="TVE154" s="14"/>
      <c r="TVF154" s="14"/>
      <c r="TVG154" s="14"/>
      <c r="TVH154" s="14"/>
      <c r="TVI154" s="14"/>
      <c r="TVJ154" s="14"/>
      <c r="TVK154" s="14"/>
      <c r="TVL154" s="14"/>
      <c r="TVM154" s="14"/>
      <c r="TVN154" s="14"/>
      <c r="TVO154" s="14"/>
      <c r="TVP154" s="14"/>
      <c r="TVQ154" s="14"/>
      <c r="TVR154" s="14"/>
      <c r="TVS154" s="14"/>
      <c r="TVT154" s="14"/>
      <c r="TVU154" s="14"/>
      <c r="TVV154" s="14"/>
      <c r="TVW154" s="14"/>
      <c r="TVX154" s="14"/>
      <c r="TVY154" s="14"/>
      <c r="TVZ154" s="14"/>
      <c r="TWA154" s="14"/>
      <c r="TWB154" s="14"/>
      <c r="TWC154" s="14"/>
      <c r="TWD154" s="14"/>
      <c r="TWE154" s="14"/>
      <c r="TWF154" s="14"/>
      <c r="TWG154" s="14"/>
      <c r="TWH154" s="14"/>
      <c r="TWI154" s="14"/>
      <c r="TWJ154" s="14"/>
      <c r="TWK154" s="14"/>
      <c r="TWL154" s="14"/>
      <c r="TWM154" s="14"/>
      <c r="TWN154" s="14"/>
      <c r="TWO154" s="14"/>
      <c r="TWP154" s="14"/>
      <c r="TWQ154" s="14"/>
      <c r="TWR154" s="14"/>
      <c r="TWS154" s="14"/>
      <c r="TWT154" s="14"/>
      <c r="TWU154" s="14"/>
      <c r="TWV154" s="14"/>
      <c r="TWW154" s="14"/>
      <c r="TWX154" s="14"/>
      <c r="TWY154" s="14"/>
      <c r="TWZ154" s="14"/>
      <c r="TXA154" s="14"/>
      <c r="TXB154" s="14"/>
      <c r="TXC154" s="14"/>
      <c r="TXD154" s="14"/>
      <c r="TXE154" s="14"/>
      <c r="TXF154" s="14"/>
      <c r="TXG154" s="14"/>
      <c r="TXH154" s="14"/>
      <c r="TXI154" s="14"/>
      <c r="TXJ154" s="14"/>
      <c r="TXK154" s="14"/>
      <c r="TXL154" s="14"/>
      <c r="TXM154" s="14"/>
      <c r="TXN154" s="14"/>
      <c r="TXO154" s="14"/>
      <c r="TXP154" s="14"/>
      <c r="TXQ154" s="14"/>
      <c r="TXR154" s="14"/>
      <c r="TXS154" s="14"/>
      <c r="TXT154" s="14"/>
      <c r="TXU154" s="14"/>
      <c r="TXV154" s="14"/>
      <c r="TXW154" s="14"/>
      <c r="TXX154" s="14"/>
      <c r="TXY154" s="14"/>
      <c r="TXZ154" s="14"/>
      <c r="TYA154" s="14"/>
      <c r="TYB154" s="14"/>
      <c r="TYC154" s="14"/>
      <c r="TYD154" s="14"/>
      <c r="TYE154" s="14"/>
      <c r="TYF154" s="14"/>
      <c r="TYG154" s="14"/>
      <c r="TYH154" s="14"/>
      <c r="TYI154" s="14"/>
      <c r="TYJ154" s="14"/>
      <c r="TYK154" s="14"/>
      <c r="TYL154" s="14"/>
      <c r="TYM154" s="14"/>
      <c r="TYN154" s="14"/>
      <c r="TYO154" s="14"/>
      <c r="TYP154" s="14"/>
      <c r="TYQ154" s="14"/>
      <c r="TYR154" s="14"/>
      <c r="TYS154" s="14"/>
      <c r="TYT154" s="14"/>
      <c r="TYU154" s="14"/>
      <c r="TYV154" s="14"/>
      <c r="TYW154" s="14"/>
      <c r="TYX154" s="14"/>
      <c r="TYY154" s="14"/>
      <c r="TYZ154" s="14"/>
      <c r="TZA154" s="14"/>
      <c r="TZB154" s="14"/>
      <c r="TZC154" s="14"/>
      <c r="TZD154" s="14"/>
      <c r="TZE154" s="14"/>
      <c r="TZF154" s="14"/>
      <c r="TZG154" s="14"/>
      <c r="TZH154" s="14"/>
      <c r="TZI154" s="14"/>
      <c r="TZJ154" s="14"/>
      <c r="TZK154" s="14"/>
      <c r="TZL154" s="14"/>
      <c r="TZM154" s="14"/>
      <c r="TZN154" s="14"/>
      <c r="TZO154" s="14"/>
      <c r="TZP154" s="14"/>
      <c r="TZQ154" s="14"/>
      <c r="TZR154" s="14"/>
      <c r="TZS154" s="14"/>
      <c r="TZT154" s="14"/>
      <c r="TZU154" s="14"/>
      <c r="TZV154" s="14"/>
      <c r="TZW154" s="14"/>
      <c r="TZX154" s="14"/>
      <c r="TZY154" s="14"/>
      <c r="TZZ154" s="14"/>
      <c r="UAA154" s="14"/>
      <c r="UAB154" s="14"/>
      <c r="UAC154" s="14"/>
      <c r="UAD154" s="14"/>
      <c r="UAE154" s="14"/>
      <c r="UAF154" s="14"/>
      <c r="UAG154" s="14"/>
      <c r="UAH154" s="14"/>
      <c r="UAI154" s="14"/>
      <c r="UAJ154" s="14"/>
      <c r="UAK154" s="14"/>
      <c r="UAL154" s="14"/>
      <c r="UAM154" s="14"/>
      <c r="UAN154" s="14"/>
      <c r="UAO154" s="14"/>
      <c r="UAP154" s="14"/>
      <c r="UAQ154" s="14"/>
      <c r="UAR154" s="14"/>
      <c r="UAS154" s="14"/>
      <c r="UAT154" s="14"/>
      <c r="UAU154" s="14"/>
      <c r="UAV154" s="14"/>
      <c r="UAW154" s="14"/>
      <c r="UAX154" s="14"/>
      <c r="UAY154" s="14"/>
      <c r="UAZ154" s="14"/>
      <c r="UBA154" s="14"/>
      <c r="UBB154" s="14"/>
      <c r="UBC154" s="14"/>
      <c r="UBD154" s="14"/>
      <c r="UBE154" s="14"/>
      <c r="UBF154" s="14"/>
      <c r="UBG154" s="14"/>
      <c r="UBH154" s="14"/>
      <c r="UBI154" s="14"/>
      <c r="UBJ154" s="14"/>
      <c r="UBK154" s="14"/>
      <c r="UBL154" s="14"/>
      <c r="UBM154" s="14"/>
      <c r="UBN154" s="14"/>
      <c r="UBO154" s="14"/>
      <c r="UBP154" s="14"/>
      <c r="UBQ154" s="14"/>
      <c r="UBR154" s="14"/>
      <c r="UBS154" s="14"/>
      <c r="UBT154" s="14"/>
      <c r="UBU154" s="14"/>
      <c r="UBV154" s="14"/>
      <c r="UBW154" s="14"/>
      <c r="UBX154" s="14"/>
      <c r="UBY154" s="14"/>
      <c r="UBZ154" s="14"/>
      <c r="UCA154" s="14"/>
      <c r="UCB154" s="14"/>
      <c r="UCC154" s="14"/>
      <c r="UCD154" s="14"/>
      <c r="UCE154" s="14"/>
      <c r="UCF154" s="14"/>
      <c r="UCG154" s="14"/>
      <c r="UCH154" s="14"/>
      <c r="UCI154" s="14"/>
      <c r="UCJ154" s="14"/>
      <c r="UCK154" s="14"/>
      <c r="UCL154" s="14"/>
      <c r="UCM154" s="14"/>
      <c r="UCN154" s="14"/>
      <c r="UCO154" s="14"/>
      <c r="UCP154" s="14"/>
      <c r="UCQ154" s="14"/>
      <c r="UCR154" s="14"/>
      <c r="UCS154" s="14"/>
      <c r="UCT154" s="14"/>
      <c r="UCU154" s="14"/>
      <c r="UCV154" s="14"/>
      <c r="UCW154" s="14"/>
      <c r="UCX154" s="14"/>
      <c r="UCY154" s="14"/>
      <c r="UCZ154" s="14"/>
      <c r="UDA154" s="14"/>
      <c r="UDB154" s="14"/>
      <c r="UDC154" s="14"/>
      <c r="UDD154" s="14"/>
      <c r="UDE154" s="14"/>
      <c r="UDF154" s="14"/>
      <c r="UDG154" s="14"/>
      <c r="UDH154" s="14"/>
      <c r="UDI154" s="14"/>
      <c r="UDJ154" s="14"/>
      <c r="UDK154" s="14"/>
      <c r="UDL154" s="14"/>
      <c r="UDM154" s="14"/>
      <c r="UDN154" s="14"/>
      <c r="UDO154" s="14"/>
      <c r="UDP154" s="14"/>
      <c r="UDQ154" s="14"/>
      <c r="UDR154" s="14"/>
      <c r="UDS154" s="14"/>
      <c r="UDT154" s="14"/>
      <c r="UDU154" s="14"/>
      <c r="UDV154" s="14"/>
      <c r="UDW154" s="14"/>
      <c r="UDX154" s="14"/>
      <c r="UDY154" s="14"/>
      <c r="UDZ154" s="14"/>
      <c r="UEA154" s="14"/>
      <c r="UEB154" s="14"/>
      <c r="UEC154" s="14"/>
      <c r="UED154" s="14"/>
      <c r="UEE154" s="14"/>
      <c r="UEF154" s="14"/>
      <c r="UEG154" s="14"/>
      <c r="UEH154" s="14"/>
      <c r="UEI154" s="14"/>
      <c r="UEJ154" s="14"/>
      <c r="UEK154" s="14"/>
      <c r="UEL154" s="14"/>
      <c r="UEM154" s="14"/>
      <c r="UEN154" s="14"/>
      <c r="UEO154" s="14"/>
      <c r="UEP154" s="14"/>
      <c r="UEQ154" s="14"/>
      <c r="UER154" s="14"/>
      <c r="UES154" s="14"/>
      <c r="UET154" s="14"/>
      <c r="UEU154" s="14"/>
      <c r="UEV154" s="14"/>
      <c r="UEW154" s="14"/>
      <c r="UEX154" s="14"/>
      <c r="UEY154" s="14"/>
      <c r="UEZ154" s="14"/>
      <c r="UFA154" s="14"/>
      <c r="UFB154" s="14"/>
      <c r="UFC154" s="14"/>
      <c r="UFD154" s="14"/>
      <c r="UFE154" s="14"/>
      <c r="UFF154" s="14"/>
      <c r="UFG154" s="14"/>
      <c r="UFH154" s="14"/>
      <c r="UFI154" s="14"/>
      <c r="UFJ154" s="14"/>
      <c r="UFK154" s="14"/>
      <c r="UFL154" s="14"/>
      <c r="UFM154" s="14"/>
      <c r="UFN154" s="14"/>
      <c r="UFO154" s="14"/>
      <c r="UFP154" s="14"/>
      <c r="UFQ154" s="14"/>
      <c r="UFR154" s="14"/>
      <c r="UFS154" s="14"/>
      <c r="UFT154" s="14"/>
      <c r="UFU154" s="14"/>
      <c r="UFV154" s="14"/>
      <c r="UFW154" s="14"/>
      <c r="UFX154" s="14"/>
      <c r="UFY154" s="14"/>
      <c r="UFZ154" s="14"/>
      <c r="UGA154" s="14"/>
      <c r="UGB154" s="14"/>
      <c r="UGC154" s="14"/>
      <c r="UGD154" s="14"/>
      <c r="UGE154" s="14"/>
      <c r="UGF154" s="14"/>
      <c r="UGG154" s="14"/>
      <c r="UGH154" s="14"/>
      <c r="UGI154" s="14"/>
      <c r="UGJ154" s="14"/>
      <c r="UGK154" s="14"/>
      <c r="UGL154" s="14"/>
      <c r="UGM154" s="14"/>
      <c r="UGN154" s="14"/>
      <c r="UGO154" s="14"/>
      <c r="UGP154" s="14"/>
      <c r="UGQ154" s="14"/>
      <c r="UGR154" s="14"/>
      <c r="UGS154" s="14"/>
      <c r="UGT154" s="14"/>
      <c r="UGU154" s="14"/>
      <c r="UGV154" s="14"/>
      <c r="UGW154" s="14"/>
      <c r="UGX154" s="14"/>
      <c r="UGY154" s="14"/>
      <c r="UGZ154" s="14"/>
      <c r="UHA154" s="14"/>
      <c r="UHB154" s="14"/>
      <c r="UHC154" s="14"/>
      <c r="UHD154" s="14"/>
      <c r="UHE154" s="14"/>
      <c r="UHF154" s="14"/>
      <c r="UHG154" s="14"/>
      <c r="UHH154" s="14"/>
      <c r="UHI154" s="14"/>
      <c r="UHJ154" s="14"/>
      <c r="UHK154" s="14"/>
      <c r="UHL154" s="14"/>
      <c r="UHM154" s="14"/>
      <c r="UHN154" s="14"/>
      <c r="UHO154" s="14"/>
      <c r="UHP154" s="14"/>
      <c r="UHQ154" s="14"/>
      <c r="UHR154" s="14"/>
      <c r="UHS154" s="14"/>
      <c r="UHT154" s="14"/>
      <c r="UHU154" s="14"/>
      <c r="UHV154" s="14"/>
      <c r="UHW154" s="14"/>
      <c r="UHX154" s="14"/>
      <c r="UHY154" s="14"/>
      <c r="UHZ154" s="14"/>
      <c r="UIA154" s="14"/>
      <c r="UIB154" s="14"/>
      <c r="UIC154" s="14"/>
      <c r="UID154" s="14"/>
      <c r="UIE154" s="14"/>
      <c r="UIF154" s="14"/>
      <c r="UIG154" s="14"/>
      <c r="UIH154" s="14"/>
      <c r="UII154" s="14"/>
      <c r="UIJ154" s="14"/>
      <c r="UIK154" s="14"/>
      <c r="UIL154" s="14"/>
      <c r="UIM154" s="14"/>
      <c r="UIN154" s="14"/>
      <c r="UIO154" s="14"/>
      <c r="UIP154" s="14"/>
      <c r="UIQ154" s="14"/>
      <c r="UIR154" s="14"/>
      <c r="UIS154" s="14"/>
      <c r="UIT154" s="14"/>
      <c r="UIU154" s="14"/>
      <c r="UIV154" s="14"/>
      <c r="UIW154" s="14"/>
      <c r="UIX154" s="14"/>
      <c r="UIY154" s="14"/>
      <c r="UIZ154" s="14"/>
      <c r="UJA154" s="14"/>
      <c r="UJB154" s="14"/>
      <c r="UJC154" s="14"/>
      <c r="UJD154" s="14"/>
      <c r="UJE154" s="14"/>
      <c r="UJF154" s="14"/>
      <c r="UJG154" s="14"/>
      <c r="UJH154" s="14"/>
      <c r="UJI154" s="14"/>
      <c r="UJJ154" s="14"/>
      <c r="UJK154" s="14"/>
      <c r="UJL154" s="14"/>
      <c r="UJM154" s="14"/>
      <c r="UJN154" s="14"/>
      <c r="UJO154" s="14"/>
      <c r="UJP154" s="14"/>
      <c r="UJQ154" s="14"/>
      <c r="UJR154" s="14"/>
      <c r="UJS154" s="14"/>
      <c r="UJT154" s="14"/>
      <c r="UJU154" s="14"/>
      <c r="UJV154" s="14"/>
      <c r="UJW154" s="14"/>
      <c r="UJX154" s="14"/>
      <c r="UJY154" s="14"/>
      <c r="UJZ154" s="14"/>
      <c r="UKA154" s="14"/>
      <c r="UKB154" s="14"/>
      <c r="UKC154" s="14"/>
      <c r="UKD154" s="14"/>
      <c r="UKE154" s="14"/>
      <c r="UKF154" s="14"/>
      <c r="UKG154" s="14"/>
      <c r="UKH154" s="14"/>
      <c r="UKI154" s="14"/>
      <c r="UKJ154" s="14"/>
      <c r="UKK154" s="14"/>
      <c r="UKL154" s="14"/>
      <c r="UKM154" s="14"/>
      <c r="UKN154" s="14"/>
      <c r="UKO154" s="14"/>
      <c r="UKP154" s="14"/>
      <c r="UKQ154" s="14"/>
      <c r="UKR154" s="14"/>
      <c r="UKS154" s="14"/>
      <c r="UKT154" s="14"/>
      <c r="UKU154" s="14"/>
      <c r="UKV154" s="14"/>
      <c r="UKW154" s="14"/>
      <c r="UKX154" s="14"/>
      <c r="UKY154" s="14"/>
      <c r="UKZ154" s="14"/>
      <c r="ULA154" s="14"/>
      <c r="ULB154" s="14"/>
      <c r="ULC154" s="14"/>
      <c r="ULD154" s="14"/>
      <c r="ULE154" s="14"/>
      <c r="ULF154" s="14"/>
      <c r="ULG154" s="14"/>
      <c r="ULH154" s="14"/>
      <c r="ULI154" s="14"/>
      <c r="ULJ154" s="14"/>
      <c r="ULK154" s="14"/>
      <c r="ULL154" s="14"/>
      <c r="ULM154" s="14"/>
      <c r="ULN154" s="14"/>
      <c r="ULO154" s="14"/>
      <c r="ULP154" s="14"/>
      <c r="ULQ154" s="14"/>
      <c r="ULR154" s="14"/>
      <c r="ULS154" s="14"/>
      <c r="ULT154" s="14"/>
      <c r="ULU154" s="14"/>
      <c r="ULV154" s="14"/>
      <c r="ULW154" s="14"/>
      <c r="ULX154" s="14"/>
      <c r="ULY154" s="14"/>
      <c r="ULZ154" s="14"/>
      <c r="UMA154" s="14"/>
      <c r="UMB154" s="14"/>
      <c r="UMC154" s="14"/>
      <c r="UMD154" s="14"/>
      <c r="UME154" s="14"/>
      <c r="UMF154" s="14"/>
      <c r="UMG154" s="14"/>
      <c r="UMH154" s="14"/>
      <c r="UMI154" s="14"/>
      <c r="UMJ154" s="14"/>
      <c r="UMK154" s="14"/>
      <c r="UML154" s="14"/>
      <c r="UMM154" s="14"/>
      <c r="UMN154" s="14"/>
      <c r="UMO154" s="14"/>
      <c r="UMP154" s="14"/>
      <c r="UMQ154" s="14"/>
      <c r="UMR154" s="14"/>
      <c r="UMS154" s="14"/>
      <c r="UMT154" s="14"/>
      <c r="UMU154" s="14"/>
      <c r="UMV154" s="14"/>
      <c r="UMW154" s="14"/>
      <c r="UMX154" s="14"/>
      <c r="UMY154" s="14"/>
      <c r="UMZ154" s="14"/>
      <c r="UNA154" s="14"/>
      <c r="UNB154" s="14"/>
      <c r="UNC154" s="14"/>
      <c r="UND154" s="14"/>
      <c r="UNE154" s="14"/>
      <c r="UNF154" s="14"/>
      <c r="UNG154" s="14"/>
      <c r="UNH154" s="14"/>
      <c r="UNI154" s="14"/>
      <c r="UNJ154" s="14"/>
      <c r="UNK154" s="14"/>
      <c r="UNL154" s="14"/>
      <c r="UNM154" s="14"/>
      <c r="UNN154" s="14"/>
      <c r="UNO154" s="14"/>
      <c r="UNP154" s="14"/>
      <c r="UNQ154" s="14"/>
      <c r="UNR154" s="14"/>
      <c r="UNS154" s="14"/>
      <c r="UNT154" s="14"/>
      <c r="UNU154" s="14"/>
      <c r="UNV154" s="14"/>
      <c r="UNW154" s="14"/>
      <c r="UNX154" s="14"/>
      <c r="UNY154" s="14"/>
      <c r="UNZ154" s="14"/>
      <c r="UOA154" s="14"/>
      <c r="UOB154" s="14"/>
      <c r="UOC154" s="14"/>
      <c r="UOD154" s="14"/>
      <c r="UOE154" s="14"/>
      <c r="UOF154" s="14"/>
      <c r="UOG154" s="14"/>
      <c r="UOH154" s="14"/>
      <c r="UOI154" s="14"/>
      <c r="UOJ154" s="14"/>
      <c r="UOK154" s="14"/>
      <c r="UOL154" s="14"/>
      <c r="UOM154" s="14"/>
      <c r="UON154" s="14"/>
      <c r="UOO154" s="14"/>
      <c r="UOP154" s="14"/>
      <c r="UOQ154" s="14"/>
      <c r="UOR154" s="14"/>
      <c r="UOS154" s="14"/>
      <c r="UOT154" s="14"/>
      <c r="UOU154" s="14"/>
      <c r="UOV154" s="14"/>
      <c r="UOW154" s="14"/>
      <c r="UOX154" s="14"/>
      <c r="UOY154" s="14"/>
      <c r="UOZ154" s="14"/>
      <c r="UPA154" s="14"/>
      <c r="UPB154" s="14"/>
      <c r="UPC154" s="14"/>
      <c r="UPD154" s="14"/>
      <c r="UPE154" s="14"/>
      <c r="UPF154" s="14"/>
      <c r="UPG154" s="14"/>
      <c r="UPH154" s="14"/>
      <c r="UPI154" s="14"/>
      <c r="UPJ154" s="14"/>
      <c r="UPK154" s="14"/>
      <c r="UPL154" s="14"/>
      <c r="UPM154" s="14"/>
      <c r="UPN154" s="14"/>
      <c r="UPO154" s="14"/>
      <c r="UPP154" s="14"/>
      <c r="UPQ154" s="14"/>
      <c r="UPR154" s="14"/>
      <c r="UPS154" s="14"/>
      <c r="UPT154" s="14"/>
      <c r="UPU154" s="14"/>
      <c r="UPV154" s="14"/>
      <c r="UPW154" s="14"/>
      <c r="UPX154" s="14"/>
      <c r="UPY154" s="14"/>
      <c r="UPZ154" s="14"/>
      <c r="UQA154" s="14"/>
      <c r="UQB154" s="14"/>
      <c r="UQC154" s="14"/>
      <c r="UQD154" s="14"/>
      <c r="UQE154" s="14"/>
      <c r="UQF154" s="14"/>
      <c r="UQG154" s="14"/>
      <c r="UQH154" s="14"/>
      <c r="UQI154" s="14"/>
      <c r="UQJ154" s="14"/>
      <c r="UQK154" s="14"/>
      <c r="UQL154" s="14"/>
      <c r="UQM154" s="14"/>
      <c r="UQN154" s="14"/>
      <c r="UQO154" s="14"/>
      <c r="UQP154" s="14"/>
      <c r="UQQ154" s="14"/>
      <c r="UQR154" s="14"/>
      <c r="UQS154" s="14"/>
      <c r="UQT154" s="14"/>
      <c r="UQU154" s="14"/>
      <c r="UQV154" s="14"/>
      <c r="UQW154" s="14"/>
      <c r="UQX154" s="14"/>
      <c r="UQY154" s="14"/>
      <c r="UQZ154" s="14"/>
      <c r="URA154" s="14"/>
      <c r="URB154" s="14"/>
      <c r="URC154" s="14"/>
      <c r="URD154" s="14"/>
      <c r="URE154" s="14"/>
      <c r="URF154" s="14"/>
      <c r="URG154" s="14"/>
      <c r="URH154" s="14"/>
      <c r="URI154" s="14"/>
      <c r="URJ154" s="14"/>
      <c r="URK154" s="14"/>
      <c r="URL154" s="14"/>
      <c r="URM154" s="14"/>
      <c r="URN154" s="14"/>
      <c r="URO154" s="14"/>
      <c r="URP154" s="14"/>
      <c r="URQ154" s="14"/>
      <c r="URR154" s="14"/>
      <c r="URS154" s="14"/>
      <c r="URT154" s="14"/>
      <c r="URU154" s="14"/>
      <c r="URV154" s="14"/>
      <c r="URW154" s="14"/>
      <c r="URX154" s="14"/>
      <c r="URY154" s="14"/>
      <c r="URZ154" s="14"/>
      <c r="USA154" s="14"/>
      <c r="USB154" s="14"/>
      <c r="USC154" s="14"/>
      <c r="USD154" s="14"/>
      <c r="USE154" s="14"/>
      <c r="USF154" s="14"/>
      <c r="USG154" s="14"/>
      <c r="USH154" s="14"/>
      <c r="USI154" s="14"/>
      <c r="USJ154" s="14"/>
      <c r="USK154" s="14"/>
      <c r="USL154" s="14"/>
      <c r="USM154" s="14"/>
      <c r="USN154" s="14"/>
      <c r="USO154" s="14"/>
      <c r="USP154" s="14"/>
      <c r="USQ154" s="14"/>
      <c r="USR154" s="14"/>
      <c r="USS154" s="14"/>
      <c r="UST154" s="14"/>
      <c r="USU154" s="14"/>
      <c r="USV154" s="14"/>
      <c r="USW154" s="14"/>
      <c r="USX154" s="14"/>
      <c r="USY154" s="14"/>
      <c r="USZ154" s="14"/>
      <c r="UTA154" s="14"/>
      <c r="UTB154" s="14"/>
      <c r="UTC154" s="14"/>
      <c r="UTD154" s="14"/>
      <c r="UTE154" s="14"/>
      <c r="UTF154" s="14"/>
      <c r="UTG154" s="14"/>
      <c r="UTH154" s="14"/>
      <c r="UTI154" s="14"/>
      <c r="UTJ154" s="14"/>
      <c r="UTK154" s="14"/>
      <c r="UTL154" s="14"/>
      <c r="UTM154" s="14"/>
      <c r="UTN154" s="14"/>
      <c r="UTO154" s="14"/>
      <c r="UTP154" s="14"/>
      <c r="UTQ154" s="14"/>
      <c r="UTR154" s="14"/>
      <c r="UTS154" s="14"/>
      <c r="UTT154" s="14"/>
      <c r="UTU154" s="14"/>
      <c r="UTV154" s="14"/>
      <c r="UTW154" s="14"/>
      <c r="UTX154" s="14"/>
      <c r="UTY154" s="14"/>
      <c r="UTZ154" s="14"/>
      <c r="UUA154" s="14"/>
      <c r="UUB154" s="14"/>
      <c r="UUC154" s="14"/>
      <c r="UUD154" s="14"/>
      <c r="UUE154" s="14"/>
      <c r="UUF154" s="14"/>
      <c r="UUG154" s="14"/>
      <c r="UUH154" s="14"/>
      <c r="UUI154" s="14"/>
      <c r="UUJ154" s="14"/>
      <c r="UUK154" s="14"/>
      <c r="UUL154" s="14"/>
      <c r="UUM154" s="14"/>
      <c r="UUN154" s="14"/>
      <c r="UUO154" s="14"/>
      <c r="UUP154" s="14"/>
      <c r="UUQ154" s="14"/>
      <c r="UUR154" s="14"/>
      <c r="UUS154" s="14"/>
      <c r="UUT154" s="14"/>
      <c r="UUU154" s="14"/>
      <c r="UUV154" s="14"/>
      <c r="UUW154" s="14"/>
      <c r="UUX154" s="14"/>
      <c r="UUY154" s="14"/>
      <c r="UUZ154" s="14"/>
      <c r="UVA154" s="14"/>
      <c r="UVB154" s="14"/>
      <c r="UVC154" s="14"/>
      <c r="UVD154" s="14"/>
      <c r="UVE154" s="14"/>
      <c r="UVF154" s="14"/>
      <c r="UVG154" s="14"/>
      <c r="UVH154" s="14"/>
      <c r="UVI154" s="14"/>
      <c r="UVJ154" s="14"/>
      <c r="UVK154" s="14"/>
      <c r="UVL154" s="14"/>
      <c r="UVM154" s="14"/>
      <c r="UVN154" s="14"/>
      <c r="UVO154" s="14"/>
      <c r="UVP154" s="14"/>
      <c r="UVQ154" s="14"/>
      <c r="UVR154" s="14"/>
      <c r="UVS154" s="14"/>
      <c r="UVT154" s="14"/>
      <c r="UVU154" s="14"/>
      <c r="UVV154" s="14"/>
      <c r="UVW154" s="14"/>
      <c r="UVX154" s="14"/>
      <c r="UVY154" s="14"/>
      <c r="UVZ154" s="14"/>
      <c r="UWA154" s="14"/>
      <c r="UWB154" s="14"/>
      <c r="UWC154" s="14"/>
      <c r="UWD154" s="14"/>
      <c r="UWE154" s="14"/>
      <c r="UWF154" s="14"/>
      <c r="UWG154" s="14"/>
      <c r="UWH154" s="14"/>
      <c r="UWI154" s="14"/>
      <c r="UWJ154" s="14"/>
      <c r="UWK154" s="14"/>
      <c r="UWL154" s="14"/>
      <c r="UWM154" s="14"/>
      <c r="UWN154" s="14"/>
      <c r="UWO154" s="14"/>
      <c r="UWP154" s="14"/>
      <c r="UWQ154" s="14"/>
      <c r="UWR154" s="14"/>
      <c r="UWS154" s="14"/>
      <c r="UWT154" s="14"/>
      <c r="UWU154" s="14"/>
      <c r="UWV154" s="14"/>
      <c r="UWW154" s="14"/>
      <c r="UWX154" s="14"/>
      <c r="UWY154" s="14"/>
      <c r="UWZ154" s="14"/>
      <c r="UXA154" s="14"/>
      <c r="UXB154" s="14"/>
      <c r="UXC154" s="14"/>
      <c r="UXD154" s="14"/>
      <c r="UXE154" s="14"/>
      <c r="UXF154" s="14"/>
      <c r="UXG154" s="14"/>
      <c r="UXH154" s="14"/>
      <c r="UXI154" s="14"/>
      <c r="UXJ154" s="14"/>
      <c r="UXK154" s="14"/>
      <c r="UXL154" s="14"/>
      <c r="UXM154" s="14"/>
      <c r="UXN154" s="14"/>
      <c r="UXO154" s="14"/>
      <c r="UXP154" s="14"/>
      <c r="UXQ154" s="14"/>
      <c r="UXR154" s="14"/>
      <c r="UXS154" s="14"/>
      <c r="UXT154" s="14"/>
      <c r="UXU154" s="14"/>
      <c r="UXV154" s="14"/>
      <c r="UXW154" s="14"/>
      <c r="UXX154" s="14"/>
      <c r="UXY154" s="14"/>
      <c r="UXZ154" s="14"/>
      <c r="UYA154" s="14"/>
      <c r="UYB154" s="14"/>
      <c r="UYC154" s="14"/>
      <c r="UYD154" s="14"/>
      <c r="UYE154" s="14"/>
      <c r="UYF154" s="14"/>
      <c r="UYG154" s="14"/>
      <c r="UYH154" s="14"/>
      <c r="UYI154" s="14"/>
      <c r="UYJ154" s="14"/>
      <c r="UYK154" s="14"/>
      <c r="UYL154" s="14"/>
      <c r="UYM154" s="14"/>
      <c r="UYN154" s="14"/>
      <c r="UYO154" s="14"/>
      <c r="UYP154" s="14"/>
      <c r="UYQ154" s="14"/>
      <c r="UYR154" s="14"/>
      <c r="UYS154" s="14"/>
      <c r="UYT154" s="14"/>
      <c r="UYU154" s="14"/>
      <c r="UYV154" s="14"/>
      <c r="UYW154" s="14"/>
      <c r="UYX154" s="14"/>
      <c r="UYY154" s="14"/>
      <c r="UYZ154" s="14"/>
      <c r="UZA154" s="14"/>
      <c r="UZB154" s="14"/>
      <c r="UZC154" s="14"/>
      <c r="UZD154" s="14"/>
      <c r="UZE154" s="14"/>
      <c r="UZF154" s="14"/>
      <c r="UZG154" s="14"/>
      <c r="UZH154" s="14"/>
      <c r="UZI154" s="14"/>
      <c r="UZJ154" s="14"/>
      <c r="UZK154" s="14"/>
      <c r="UZL154" s="14"/>
      <c r="UZM154" s="14"/>
      <c r="UZN154" s="14"/>
      <c r="UZO154" s="14"/>
      <c r="UZP154" s="14"/>
      <c r="UZQ154" s="14"/>
      <c r="UZR154" s="14"/>
      <c r="UZS154" s="14"/>
      <c r="UZT154" s="14"/>
      <c r="UZU154" s="14"/>
      <c r="UZV154" s="14"/>
      <c r="UZW154" s="14"/>
      <c r="UZX154" s="14"/>
      <c r="UZY154" s="14"/>
      <c r="UZZ154" s="14"/>
      <c r="VAA154" s="14"/>
      <c r="VAB154" s="14"/>
      <c r="VAC154" s="14"/>
      <c r="VAD154" s="14"/>
      <c r="VAE154" s="14"/>
      <c r="VAF154" s="14"/>
      <c r="VAG154" s="14"/>
      <c r="VAH154" s="14"/>
      <c r="VAI154" s="14"/>
      <c r="VAJ154" s="14"/>
      <c r="VAK154" s="14"/>
      <c r="VAL154" s="14"/>
      <c r="VAM154" s="14"/>
      <c r="VAN154" s="14"/>
      <c r="VAO154" s="14"/>
      <c r="VAP154" s="14"/>
      <c r="VAQ154" s="14"/>
      <c r="VAR154" s="14"/>
      <c r="VAS154" s="14"/>
      <c r="VAT154" s="14"/>
      <c r="VAU154" s="14"/>
      <c r="VAV154" s="14"/>
      <c r="VAW154" s="14"/>
      <c r="VAX154" s="14"/>
      <c r="VAY154" s="14"/>
      <c r="VAZ154" s="14"/>
      <c r="VBA154" s="14"/>
      <c r="VBB154" s="14"/>
      <c r="VBC154" s="14"/>
      <c r="VBD154" s="14"/>
      <c r="VBE154" s="14"/>
      <c r="VBF154" s="14"/>
      <c r="VBG154" s="14"/>
      <c r="VBH154" s="14"/>
      <c r="VBI154" s="14"/>
      <c r="VBJ154" s="14"/>
      <c r="VBK154" s="14"/>
      <c r="VBL154" s="14"/>
      <c r="VBM154" s="14"/>
      <c r="VBN154" s="14"/>
      <c r="VBO154" s="14"/>
      <c r="VBP154" s="14"/>
      <c r="VBQ154" s="14"/>
      <c r="VBR154" s="14"/>
      <c r="VBS154" s="14"/>
      <c r="VBT154" s="14"/>
      <c r="VBU154" s="14"/>
      <c r="VBV154" s="14"/>
      <c r="VBW154" s="14"/>
      <c r="VBX154" s="14"/>
      <c r="VBY154" s="14"/>
      <c r="VBZ154" s="14"/>
      <c r="VCA154" s="14"/>
      <c r="VCB154" s="14"/>
      <c r="VCC154" s="14"/>
      <c r="VCD154" s="14"/>
      <c r="VCE154" s="14"/>
      <c r="VCF154" s="14"/>
      <c r="VCG154" s="14"/>
      <c r="VCH154" s="14"/>
      <c r="VCI154" s="14"/>
      <c r="VCJ154" s="14"/>
      <c r="VCK154" s="14"/>
      <c r="VCL154" s="14"/>
      <c r="VCM154" s="14"/>
      <c r="VCN154" s="14"/>
      <c r="VCO154" s="14"/>
      <c r="VCP154" s="14"/>
      <c r="VCQ154" s="14"/>
      <c r="VCR154" s="14"/>
      <c r="VCS154" s="14"/>
      <c r="VCT154" s="14"/>
      <c r="VCU154" s="14"/>
      <c r="VCV154" s="14"/>
      <c r="VCW154" s="14"/>
      <c r="VCX154" s="14"/>
      <c r="VCY154" s="14"/>
      <c r="VCZ154" s="14"/>
      <c r="VDA154" s="14"/>
      <c r="VDB154" s="14"/>
      <c r="VDC154" s="14"/>
      <c r="VDD154" s="14"/>
      <c r="VDE154" s="14"/>
      <c r="VDF154" s="14"/>
      <c r="VDG154" s="14"/>
      <c r="VDH154" s="14"/>
      <c r="VDI154" s="14"/>
      <c r="VDJ154" s="14"/>
      <c r="VDK154" s="14"/>
      <c r="VDL154" s="14"/>
      <c r="VDM154" s="14"/>
      <c r="VDN154" s="14"/>
      <c r="VDO154" s="14"/>
      <c r="VDP154" s="14"/>
      <c r="VDQ154" s="14"/>
      <c r="VDR154" s="14"/>
      <c r="VDS154" s="14"/>
      <c r="VDT154" s="14"/>
      <c r="VDU154" s="14"/>
      <c r="VDV154" s="14"/>
      <c r="VDW154" s="14"/>
      <c r="VDX154" s="14"/>
      <c r="VDY154" s="14"/>
      <c r="VDZ154" s="14"/>
      <c r="VEA154" s="14"/>
      <c r="VEB154" s="14"/>
      <c r="VEC154" s="14"/>
      <c r="VED154" s="14"/>
      <c r="VEE154" s="14"/>
      <c r="VEF154" s="14"/>
      <c r="VEG154" s="14"/>
      <c r="VEH154" s="14"/>
      <c r="VEI154" s="14"/>
      <c r="VEJ154" s="14"/>
      <c r="VEK154" s="14"/>
      <c r="VEL154" s="14"/>
      <c r="VEM154" s="14"/>
      <c r="VEN154" s="14"/>
      <c r="VEO154" s="14"/>
      <c r="VEP154" s="14"/>
      <c r="VEQ154" s="14"/>
      <c r="VER154" s="14"/>
      <c r="VES154" s="14"/>
      <c r="VET154" s="14"/>
      <c r="VEU154" s="14"/>
      <c r="VEV154" s="14"/>
      <c r="VEW154" s="14"/>
      <c r="VEX154" s="14"/>
      <c r="VEY154" s="14"/>
      <c r="VEZ154" s="14"/>
      <c r="VFA154" s="14"/>
      <c r="VFB154" s="14"/>
      <c r="VFC154" s="14"/>
      <c r="VFD154" s="14"/>
      <c r="VFE154" s="14"/>
      <c r="VFF154" s="14"/>
      <c r="VFG154" s="14"/>
      <c r="VFH154" s="14"/>
      <c r="VFI154" s="14"/>
      <c r="VFJ154" s="14"/>
      <c r="VFK154" s="14"/>
      <c r="VFL154" s="14"/>
      <c r="VFM154" s="14"/>
      <c r="VFN154" s="14"/>
      <c r="VFO154" s="14"/>
      <c r="VFP154" s="14"/>
      <c r="VFQ154" s="14"/>
      <c r="VFR154" s="14"/>
      <c r="VFS154" s="14"/>
      <c r="VFT154" s="14"/>
      <c r="VFU154" s="14"/>
      <c r="VFV154" s="14"/>
      <c r="VFW154" s="14"/>
      <c r="VFX154" s="14"/>
      <c r="VFY154" s="14"/>
      <c r="VFZ154" s="14"/>
      <c r="VGA154" s="14"/>
      <c r="VGB154" s="14"/>
      <c r="VGC154" s="14"/>
      <c r="VGD154" s="14"/>
      <c r="VGE154" s="14"/>
      <c r="VGF154" s="14"/>
      <c r="VGG154" s="14"/>
      <c r="VGH154" s="14"/>
      <c r="VGI154" s="14"/>
      <c r="VGJ154" s="14"/>
      <c r="VGK154" s="14"/>
      <c r="VGL154" s="14"/>
      <c r="VGM154" s="14"/>
      <c r="VGN154" s="14"/>
      <c r="VGO154" s="14"/>
      <c r="VGP154" s="14"/>
      <c r="VGQ154" s="14"/>
      <c r="VGR154" s="14"/>
      <c r="VGS154" s="14"/>
      <c r="VGT154" s="14"/>
      <c r="VGU154" s="14"/>
      <c r="VGV154" s="14"/>
      <c r="VGW154" s="14"/>
      <c r="VGX154" s="14"/>
      <c r="VGY154" s="14"/>
      <c r="VGZ154" s="14"/>
      <c r="VHA154" s="14"/>
      <c r="VHB154" s="14"/>
      <c r="VHC154" s="14"/>
      <c r="VHD154" s="14"/>
      <c r="VHE154" s="14"/>
      <c r="VHF154" s="14"/>
      <c r="VHG154" s="14"/>
      <c r="VHH154" s="14"/>
      <c r="VHI154" s="14"/>
      <c r="VHJ154" s="14"/>
      <c r="VHK154" s="14"/>
      <c r="VHL154" s="14"/>
      <c r="VHM154" s="14"/>
      <c r="VHN154" s="14"/>
      <c r="VHO154" s="14"/>
      <c r="VHP154" s="14"/>
      <c r="VHQ154" s="14"/>
      <c r="VHR154" s="14"/>
      <c r="VHS154" s="14"/>
      <c r="VHT154" s="14"/>
      <c r="VHU154" s="14"/>
      <c r="VHV154" s="14"/>
      <c r="VHW154" s="14"/>
      <c r="VHX154" s="14"/>
      <c r="VHY154" s="14"/>
      <c r="VHZ154" s="14"/>
      <c r="VIA154" s="14"/>
      <c r="VIB154" s="14"/>
      <c r="VIC154" s="14"/>
      <c r="VID154" s="14"/>
      <c r="VIE154" s="14"/>
      <c r="VIF154" s="14"/>
      <c r="VIG154" s="14"/>
      <c r="VIH154" s="14"/>
      <c r="VII154" s="14"/>
      <c r="VIJ154" s="14"/>
      <c r="VIK154" s="14"/>
      <c r="VIL154" s="14"/>
      <c r="VIM154" s="14"/>
      <c r="VIN154" s="14"/>
      <c r="VIO154" s="14"/>
      <c r="VIP154" s="14"/>
      <c r="VIQ154" s="14"/>
      <c r="VIR154" s="14"/>
      <c r="VIS154" s="14"/>
      <c r="VIT154" s="14"/>
      <c r="VIU154" s="14"/>
      <c r="VIV154" s="14"/>
      <c r="VIW154" s="14"/>
      <c r="VIX154" s="14"/>
      <c r="VIY154" s="14"/>
      <c r="VIZ154" s="14"/>
      <c r="VJA154" s="14"/>
      <c r="VJB154" s="14"/>
      <c r="VJC154" s="14"/>
      <c r="VJD154" s="14"/>
      <c r="VJE154" s="14"/>
      <c r="VJF154" s="14"/>
      <c r="VJG154" s="14"/>
      <c r="VJH154" s="14"/>
      <c r="VJI154" s="14"/>
      <c r="VJJ154" s="14"/>
      <c r="VJK154" s="14"/>
      <c r="VJL154" s="14"/>
      <c r="VJM154" s="14"/>
      <c r="VJN154" s="14"/>
      <c r="VJO154" s="14"/>
      <c r="VJP154" s="14"/>
      <c r="VJQ154" s="14"/>
      <c r="VJR154" s="14"/>
      <c r="VJS154" s="14"/>
      <c r="VJT154" s="14"/>
      <c r="VJU154" s="14"/>
      <c r="VJV154" s="14"/>
      <c r="VJW154" s="14"/>
      <c r="VJX154" s="14"/>
      <c r="VJY154" s="14"/>
      <c r="VJZ154" s="14"/>
      <c r="VKA154" s="14"/>
      <c r="VKB154" s="14"/>
      <c r="VKC154" s="14"/>
      <c r="VKD154" s="14"/>
      <c r="VKE154" s="14"/>
      <c r="VKF154" s="14"/>
      <c r="VKG154" s="14"/>
      <c r="VKH154" s="14"/>
      <c r="VKI154" s="14"/>
      <c r="VKJ154" s="14"/>
      <c r="VKK154" s="14"/>
      <c r="VKL154" s="14"/>
      <c r="VKM154" s="14"/>
      <c r="VKN154" s="14"/>
      <c r="VKO154" s="14"/>
      <c r="VKP154" s="14"/>
      <c r="VKQ154" s="14"/>
      <c r="VKR154" s="14"/>
      <c r="VKS154" s="14"/>
      <c r="VKT154" s="14"/>
      <c r="VKU154" s="14"/>
      <c r="VKV154" s="14"/>
      <c r="VKW154" s="14"/>
      <c r="VKX154" s="14"/>
      <c r="VKY154" s="14"/>
      <c r="VKZ154" s="14"/>
      <c r="VLA154" s="14"/>
      <c r="VLB154" s="14"/>
      <c r="VLC154" s="14"/>
      <c r="VLD154" s="14"/>
      <c r="VLE154" s="14"/>
      <c r="VLF154" s="14"/>
      <c r="VLG154" s="14"/>
      <c r="VLH154" s="14"/>
      <c r="VLI154" s="14"/>
      <c r="VLJ154" s="14"/>
      <c r="VLK154" s="14"/>
      <c r="VLL154" s="14"/>
      <c r="VLM154" s="14"/>
      <c r="VLN154" s="14"/>
      <c r="VLO154" s="14"/>
      <c r="VLP154" s="14"/>
      <c r="VLQ154" s="14"/>
      <c r="VLR154" s="14"/>
      <c r="VLS154" s="14"/>
      <c r="VLT154" s="14"/>
      <c r="VLU154" s="14"/>
      <c r="VLV154" s="14"/>
      <c r="VLW154" s="14"/>
      <c r="VLX154" s="14"/>
      <c r="VLY154" s="14"/>
      <c r="VLZ154" s="14"/>
      <c r="VMA154" s="14"/>
      <c r="VMB154" s="14"/>
      <c r="VMC154" s="14"/>
      <c r="VMD154" s="14"/>
      <c r="VME154" s="14"/>
      <c r="VMF154" s="14"/>
      <c r="VMG154" s="14"/>
      <c r="VMH154" s="14"/>
      <c r="VMI154" s="14"/>
      <c r="VMJ154" s="14"/>
      <c r="VMK154" s="14"/>
      <c r="VML154" s="14"/>
      <c r="VMM154" s="14"/>
      <c r="VMN154" s="14"/>
      <c r="VMO154" s="14"/>
      <c r="VMP154" s="14"/>
      <c r="VMQ154" s="14"/>
      <c r="VMR154" s="14"/>
      <c r="VMS154" s="14"/>
      <c r="VMT154" s="14"/>
      <c r="VMU154" s="14"/>
      <c r="VMV154" s="14"/>
      <c r="VMW154" s="14"/>
      <c r="VMX154" s="14"/>
      <c r="VMY154" s="14"/>
      <c r="VMZ154" s="14"/>
      <c r="VNA154" s="14"/>
      <c r="VNB154" s="14"/>
      <c r="VNC154" s="14"/>
      <c r="VND154" s="14"/>
      <c r="VNE154" s="14"/>
      <c r="VNF154" s="14"/>
      <c r="VNG154" s="14"/>
      <c r="VNH154" s="14"/>
      <c r="VNI154" s="14"/>
      <c r="VNJ154" s="14"/>
      <c r="VNK154" s="14"/>
      <c r="VNL154" s="14"/>
      <c r="VNM154" s="14"/>
      <c r="VNN154" s="14"/>
      <c r="VNO154" s="14"/>
      <c r="VNP154" s="14"/>
      <c r="VNQ154" s="14"/>
      <c r="VNR154" s="14"/>
      <c r="VNS154" s="14"/>
      <c r="VNT154" s="14"/>
      <c r="VNU154" s="14"/>
      <c r="VNV154" s="14"/>
      <c r="VNW154" s="14"/>
      <c r="VNX154" s="14"/>
      <c r="VNY154" s="14"/>
      <c r="VNZ154" s="14"/>
      <c r="VOA154" s="14"/>
      <c r="VOB154" s="14"/>
      <c r="VOC154" s="14"/>
      <c r="VOD154" s="14"/>
      <c r="VOE154" s="14"/>
      <c r="VOF154" s="14"/>
      <c r="VOG154" s="14"/>
      <c r="VOH154" s="14"/>
      <c r="VOI154" s="14"/>
      <c r="VOJ154" s="14"/>
      <c r="VOK154" s="14"/>
      <c r="VOL154" s="14"/>
      <c r="VOM154" s="14"/>
      <c r="VON154" s="14"/>
      <c r="VOO154" s="14"/>
      <c r="VOP154" s="14"/>
      <c r="VOQ154" s="14"/>
      <c r="VOR154" s="14"/>
      <c r="VOS154" s="14"/>
      <c r="VOT154" s="14"/>
      <c r="VOU154" s="14"/>
      <c r="VOV154" s="14"/>
      <c r="VOW154" s="14"/>
      <c r="VOX154" s="14"/>
      <c r="VOY154" s="14"/>
      <c r="VOZ154" s="14"/>
      <c r="VPA154" s="14"/>
      <c r="VPB154" s="14"/>
      <c r="VPC154" s="14"/>
      <c r="VPD154" s="14"/>
      <c r="VPE154" s="14"/>
      <c r="VPF154" s="14"/>
      <c r="VPG154" s="14"/>
      <c r="VPH154" s="14"/>
      <c r="VPI154" s="14"/>
      <c r="VPJ154" s="14"/>
      <c r="VPK154" s="14"/>
      <c r="VPL154" s="14"/>
      <c r="VPM154" s="14"/>
      <c r="VPN154" s="14"/>
      <c r="VPO154" s="14"/>
      <c r="VPP154" s="14"/>
      <c r="VPQ154" s="14"/>
      <c r="VPR154" s="14"/>
      <c r="VPS154" s="14"/>
      <c r="VPT154" s="14"/>
      <c r="VPU154" s="14"/>
      <c r="VPV154" s="14"/>
      <c r="VPW154" s="14"/>
      <c r="VPX154" s="14"/>
      <c r="VPY154" s="14"/>
      <c r="VPZ154" s="14"/>
      <c r="VQA154" s="14"/>
      <c r="VQB154" s="14"/>
      <c r="VQC154" s="14"/>
      <c r="VQD154" s="14"/>
      <c r="VQE154" s="14"/>
      <c r="VQF154" s="14"/>
      <c r="VQG154" s="14"/>
      <c r="VQH154" s="14"/>
      <c r="VQI154" s="14"/>
      <c r="VQJ154" s="14"/>
      <c r="VQK154" s="14"/>
      <c r="VQL154" s="14"/>
      <c r="VQM154" s="14"/>
      <c r="VQN154" s="14"/>
      <c r="VQO154" s="14"/>
      <c r="VQP154" s="14"/>
      <c r="VQQ154" s="14"/>
      <c r="VQR154" s="14"/>
      <c r="VQS154" s="14"/>
      <c r="VQT154" s="14"/>
      <c r="VQU154" s="14"/>
      <c r="VQV154" s="14"/>
      <c r="VQW154" s="14"/>
      <c r="VQX154" s="14"/>
      <c r="VQY154" s="14"/>
      <c r="VQZ154" s="14"/>
      <c r="VRA154" s="14"/>
      <c r="VRB154" s="14"/>
      <c r="VRC154" s="14"/>
      <c r="VRD154" s="14"/>
      <c r="VRE154" s="14"/>
      <c r="VRF154" s="14"/>
      <c r="VRG154" s="14"/>
      <c r="VRH154" s="14"/>
      <c r="VRI154" s="14"/>
      <c r="VRJ154" s="14"/>
      <c r="VRK154" s="14"/>
      <c r="VRL154" s="14"/>
      <c r="VRM154" s="14"/>
      <c r="VRN154" s="14"/>
      <c r="VRO154" s="14"/>
      <c r="VRP154" s="14"/>
      <c r="VRQ154" s="14"/>
      <c r="VRR154" s="14"/>
      <c r="VRS154" s="14"/>
      <c r="VRT154" s="14"/>
      <c r="VRU154" s="14"/>
      <c r="VRV154" s="14"/>
      <c r="VRW154" s="14"/>
      <c r="VRX154" s="14"/>
      <c r="VRY154" s="14"/>
      <c r="VRZ154" s="14"/>
      <c r="VSA154" s="14"/>
      <c r="VSB154" s="14"/>
      <c r="VSC154" s="14"/>
      <c r="VSD154" s="14"/>
      <c r="VSE154" s="14"/>
      <c r="VSF154" s="14"/>
      <c r="VSG154" s="14"/>
      <c r="VSH154" s="14"/>
      <c r="VSI154" s="14"/>
      <c r="VSJ154" s="14"/>
      <c r="VSK154" s="14"/>
      <c r="VSL154" s="14"/>
      <c r="VSM154" s="14"/>
      <c r="VSN154" s="14"/>
      <c r="VSO154" s="14"/>
      <c r="VSP154" s="14"/>
      <c r="VSQ154" s="14"/>
      <c r="VSR154" s="14"/>
      <c r="VSS154" s="14"/>
      <c r="VST154" s="14"/>
      <c r="VSU154" s="14"/>
      <c r="VSV154" s="14"/>
      <c r="VSW154" s="14"/>
      <c r="VSX154" s="14"/>
      <c r="VSY154" s="14"/>
      <c r="VSZ154" s="14"/>
      <c r="VTA154" s="14"/>
      <c r="VTB154" s="14"/>
      <c r="VTC154" s="14"/>
      <c r="VTD154" s="14"/>
      <c r="VTE154" s="14"/>
      <c r="VTF154" s="14"/>
      <c r="VTG154" s="14"/>
      <c r="VTH154" s="14"/>
      <c r="VTI154" s="14"/>
      <c r="VTJ154" s="14"/>
      <c r="VTK154" s="14"/>
      <c r="VTL154" s="14"/>
      <c r="VTM154" s="14"/>
      <c r="VTN154" s="14"/>
      <c r="VTO154" s="14"/>
      <c r="VTP154" s="14"/>
      <c r="VTQ154" s="14"/>
      <c r="VTR154" s="14"/>
      <c r="VTS154" s="14"/>
      <c r="VTT154" s="14"/>
      <c r="VTU154" s="14"/>
      <c r="VTV154" s="14"/>
      <c r="VTW154" s="14"/>
      <c r="VTX154" s="14"/>
      <c r="VTY154" s="14"/>
      <c r="VTZ154" s="14"/>
      <c r="VUA154" s="14"/>
      <c r="VUB154" s="14"/>
      <c r="VUC154" s="14"/>
      <c r="VUD154" s="14"/>
      <c r="VUE154" s="14"/>
      <c r="VUF154" s="14"/>
      <c r="VUG154" s="14"/>
      <c r="VUH154" s="14"/>
      <c r="VUI154" s="14"/>
      <c r="VUJ154" s="14"/>
      <c r="VUK154" s="14"/>
      <c r="VUL154" s="14"/>
      <c r="VUM154" s="14"/>
      <c r="VUN154" s="14"/>
      <c r="VUO154" s="14"/>
      <c r="VUP154" s="14"/>
      <c r="VUQ154" s="14"/>
      <c r="VUR154" s="14"/>
      <c r="VUS154" s="14"/>
      <c r="VUT154" s="14"/>
      <c r="VUU154" s="14"/>
      <c r="VUV154" s="14"/>
      <c r="VUW154" s="14"/>
      <c r="VUX154" s="14"/>
      <c r="VUY154" s="14"/>
      <c r="VUZ154" s="14"/>
      <c r="VVA154" s="14"/>
      <c r="VVB154" s="14"/>
      <c r="VVC154" s="14"/>
      <c r="VVD154" s="14"/>
      <c r="VVE154" s="14"/>
      <c r="VVF154" s="14"/>
      <c r="VVG154" s="14"/>
      <c r="VVH154" s="14"/>
      <c r="VVI154" s="14"/>
      <c r="VVJ154" s="14"/>
      <c r="VVK154" s="14"/>
      <c r="VVL154" s="14"/>
      <c r="VVM154" s="14"/>
      <c r="VVN154" s="14"/>
      <c r="VVO154" s="14"/>
      <c r="VVP154" s="14"/>
      <c r="VVQ154" s="14"/>
      <c r="VVR154" s="14"/>
      <c r="VVS154" s="14"/>
      <c r="VVT154" s="14"/>
      <c r="VVU154" s="14"/>
      <c r="VVV154" s="14"/>
      <c r="VVW154" s="14"/>
      <c r="VVX154" s="14"/>
      <c r="VVY154" s="14"/>
      <c r="VVZ154" s="14"/>
      <c r="VWA154" s="14"/>
      <c r="VWB154" s="14"/>
      <c r="VWC154" s="14"/>
      <c r="VWD154" s="14"/>
      <c r="VWE154" s="14"/>
      <c r="VWF154" s="14"/>
      <c r="VWG154" s="14"/>
      <c r="VWH154" s="14"/>
      <c r="VWI154" s="14"/>
      <c r="VWJ154" s="14"/>
      <c r="VWK154" s="14"/>
      <c r="VWL154" s="14"/>
      <c r="VWM154" s="14"/>
      <c r="VWN154" s="14"/>
      <c r="VWO154" s="14"/>
      <c r="VWP154" s="14"/>
      <c r="VWQ154" s="14"/>
      <c r="VWR154" s="14"/>
      <c r="VWS154" s="14"/>
      <c r="VWT154" s="14"/>
      <c r="VWU154" s="14"/>
      <c r="VWV154" s="14"/>
      <c r="VWW154" s="14"/>
      <c r="VWX154" s="14"/>
      <c r="VWY154" s="14"/>
      <c r="VWZ154" s="14"/>
      <c r="VXA154" s="14"/>
      <c r="VXB154" s="14"/>
      <c r="VXC154" s="14"/>
      <c r="VXD154" s="14"/>
      <c r="VXE154" s="14"/>
      <c r="VXF154" s="14"/>
      <c r="VXG154" s="14"/>
      <c r="VXH154" s="14"/>
      <c r="VXI154" s="14"/>
      <c r="VXJ154" s="14"/>
      <c r="VXK154" s="14"/>
      <c r="VXL154" s="14"/>
      <c r="VXM154" s="14"/>
      <c r="VXN154" s="14"/>
      <c r="VXO154" s="14"/>
      <c r="VXP154" s="14"/>
      <c r="VXQ154" s="14"/>
      <c r="VXR154" s="14"/>
      <c r="VXS154" s="14"/>
      <c r="VXT154" s="14"/>
      <c r="VXU154" s="14"/>
      <c r="VXV154" s="14"/>
      <c r="VXW154" s="14"/>
      <c r="VXX154" s="14"/>
      <c r="VXY154" s="14"/>
      <c r="VXZ154" s="14"/>
      <c r="VYA154" s="14"/>
      <c r="VYB154" s="14"/>
      <c r="VYC154" s="14"/>
      <c r="VYD154" s="14"/>
      <c r="VYE154" s="14"/>
      <c r="VYF154" s="14"/>
      <c r="VYG154" s="14"/>
      <c r="VYH154" s="14"/>
      <c r="VYI154" s="14"/>
      <c r="VYJ154" s="14"/>
      <c r="VYK154" s="14"/>
      <c r="VYL154" s="14"/>
      <c r="VYM154" s="14"/>
      <c r="VYN154" s="14"/>
      <c r="VYO154" s="14"/>
      <c r="VYP154" s="14"/>
      <c r="VYQ154" s="14"/>
      <c r="VYR154" s="14"/>
      <c r="VYS154" s="14"/>
      <c r="VYT154" s="14"/>
      <c r="VYU154" s="14"/>
      <c r="VYV154" s="14"/>
      <c r="VYW154" s="14"/>
      <c r="VYX154" s="14"/>
      <c r="VYY154" s="14"/>
      <c r="VYZ154" s="14"/>
      <c r="VZA154" s="14"/>
      <c r="VZB154" s="14"/>
      <c r="VZC154" s="14"/>
      <c r="VZD154" s="14"/>
      <c r="VZE154" s="14"/>
      <c r="VZF154" s="14"/>
      <c r="VZG154" s="14"/>
      <c r="VZH154" s="14"/>
      <c r="VZI154" s="14"/>
      <c r="VZJ154" s="14"/>
      <c r="VZK154" s="14"/>
      <c r="VZL154" s="14"/>
      <c r="VZM154" s="14"/>
      <c r="VZN154" s="14"/>
      <c r="VZO154" s="14"/>
      <c r="VZP154" s="14"/>
      <c r="VZQ154" s="14"/>
      <c r="VZR154" s="14"/>
      <c r="VZS154" s="14"/>
      <c r="VZT154" s="14"/>
      <c r="VZU154" s="14"/>
      <c r="VZV154" s="14"/>
      <c r="VZW154" s="14"/>
      <c r="VZX154" s="14"/>
      <c r="VZY154" s="14"/>
      <c r="VZZ154" s="14"/>
      <c r="WAA154" s="14"/>
      <c r="WAB154" s="14"/>
      <c r="WAC154" s="14"/>
      <c r="WAD154" s="14"/>
      <c r="WAE154" s="14"/>
      <c r="WAF154" s="14"/>
      <c r="WAG154" s="14"/>
      <c r="WAH154" s="14"/>
      <c r="WAI154" s="14"/>
      <c r="WAJ154" s="14"/>
      <c r="WAK154" s="14"/>
      <c r="WAL154" s="14"/>
      <c r="WAM154" s="14"/>
      <c r="WAN154" s="14"/>
      <c r="WAO154" s="14"/>
      <c r="WAP154" s="14"/>
      <c r="WAQ154" s="14"/>
      <c r="WAR154" s="14"/>
      <c r="WAS154" s="14"/>
      <c r="WAT154" s="14"/>
      <c r="WAU154" s="14"/>
      <c r="WAV154" s="14"/>
      <c r="WAW154" s="14"/>
      <c r="WAX154" s="14"/>
      <c r="WAY154" s="14"/>
      <c r="WAZ154" s="14"/>
      <c r="WBA154" s="14"/>
      <c r="WBB154" s="14"/>
      <c r="WBC154" s="14"/>
      <c r="WBD154" s="14"/>
      <c r="WBE154" s="14"/>
      <c r="WBF154" s="14"/>
      <c r="WBG154" s="14"/>
      <c r="WBH154" s="14"/>
      <c r="WBI154" s="14"/>
      <c r="WBJ154" s="14"/>
      <c r="WBK154" s="14"/>
      <c r="WBL154" s="14"/>
      <c r="WBM154" s="14"/>
      <c r="WBN154" s="14"/>
      <c r="WBO154" s="14"/>
      <c r="WBP154" s="14"/>
      <c r="WBQ154" s="14"/>
      <c r="WBR154" s="14"/>
      <c r="WBS154" s="14"/>
      <c r="WBT154" s="14"/>
      <c r="WBU154" s="14"/>
      <c r="WBV154" s="14"/>
      <c r="WBW154" s="14"/>
      <c r="WBX154" s="14"/>
      <c r="WBY154" s="14"/>
      <c r="WBZ154" s="14"/>
      <c r="WCA154" s="14"/>
      <c r="WCB154" s="14"/>
      <c r="WCC154" s="14"/>
      <c r="WCD154" s="14"/>
      <c r="WCE154" s="14"/>
      <c r="WCF154" s="14"/>
      <c r="WCG154" s="14"/>
      <c r="WCH154" s="14"/>
      <c r="WCI154" s="14"/>
      <c r="WCJ154" s="14"/>
      <c r="WCK154" s="14"/>
      <c r="WCL154" s="14"/>
      <c r="WCM154" s="14"/>
      <c r="WCN154" s="14"/>
      <c r="WCO154" s="14"/>
      <c r="WCP154" s="14"/>
      <c r="WCQ154" s="14"/>
      <c r="WCR154" s="14"/>
      <c r="WCS154" s="14"/>
      <c r="WCT154" s="14"/>
      <c r="WCU154" s="14"/>
      <c r="WCV154" s="14"/>
      <c r="WCW154" s="14"/>
      <c r="WCX154" s="14"/>
      <c r="WCY154" s="14"/>
      <c r="WCZ154" s="14"/>
      <c r="WDA154" s="14"/>
      <c r="WDB154" s="14"/>
      <c r="WDC154" s="14"/>
      <c r="WDD154" s="14"/>
      <c r="WDE154" s="14"/>
      <c r="WDF154" s="14"/>
      <c r="WDG154" s="14"/>
      <c r="WDH154" s="14"/>
      <c r="WDI154" s="14"/>
      <c r="WDJ154" s="14"/>
      <c r="WDK154" s="14"/>
      <c r="WDL154" s="14"/>
      <c r="WDM154" s="14"/>
      <c r="WDN154" s="14"/>
      <c r="WDO154" s="14"/>
      <c r="WDP154" s="14"/>
      <c r="WDQ154" s="14"/>
      <c r="WDR154" s="14"/>
      <c r="WDS154" s="14"/>
      <c r="WDT154" s="14"/>
      <c r="WDU154" s="14"/>
      <c r="WDV154" s="14"/>
      <c r="WDW154" s="14"/>
      <c r="WDX154" s="14"/>
      <c r="WDY154" s="14"/>
      <c r="WDZ154" s="14"/>
      <c r="WEA154" s="14"/>
      <c r="WEB154" s="14"/>
      <c r="WEC154" s="14"/>
      <c r="WED154" s="14"/>
      <c r="WEE154" s="14"/>
      <c r="WEF154" s="14"/>
      <c r="WEG154" s="14"/>
      <c r="WEH154" s="14"/>
      <c r="WEI154" s="14"/>
      <c r="WEJ154" s="14"/>
      <c r="WEK154" s="14"/>
      <c r="WEL154" s="14"/>
      <c r="WEM154" s="14"/>
      <c r="WEN154" s="14"/>
      <c r="WEO154" s="14"/>
      <c r="WEP154" s="14"/>
      <c r="WEQ154" s="14"/>
      <c r="WER154" s="14"/>
      <c r="WES154" s="14"/>
      <c r="WET154" s="14"/>
      <c r="WEU154" s="14"/>
      <c r="WEV154" s="14"/>
      <c r="WEW154" s="14"/>
      <c r="WEX154" s="14"/>
      <c r="WEY154" s="14"/>
      <c r="WEZ154" s="14"/>
      <c r="WFA154" s="14"/>
      <c r="WFB154" s="14"/>
      <c r="WFC154" s="14"/>
      <c r="WFD154" s="14"/>
      <c r="WFE154" s="14"/>
      <c r="WFF154" s="14"/>
      <c r="WFG154" s="14"/>
      <c r="WFH154" s="14"/>
      <c r="WFI154" s="14"/>
      <c r="WFJ154" s="14"/>
      <c r="WFK154" s="14"/>
      <c r="WFL154" s="14"/>
      <c r="WFM154" s="14"/>
      <c r="WFN154" s="14"/>
      <c r="WFO154" s="14"/>
      <c r="WFP154" s="14"/>
      <c r="WFQ154" s="14"/>
      <c r="WFR154" s="14"/>
      <c r="WFS154" s="14"/>
      <c r="WFT154" s="14"/>
      <c r="WFU154" s="14"/>
      <c r="WFV154" s="14"/>
      <c r="WFW154" s="14"/>
      <c r="WFX154" s="14"/>
      <c r="WFY154" s="14"/>
      <c r="WFZ154" s="14"/>
      <c r="WGA154" s="14"/>
      <c r="WGB154" s="14"/>
      <c r="WGC154" s="14"/>
      <c r="WGD154" s="14"/>
      <c r="WGE154" s="14"/>
      <c r="WGF154" s="14"/>
      <c r="WGG154" s="14"/>
      <c r="WGH154" s="14"/>
      <c r="WGI154" s="14"/>
      <c r="WGJ154" s="14"/>
      <c r="WGK154" s="14"/>
      <c r="WGL154" s="14"/>
      <c r="WGM154" s="14"/>
      <c r="WGN154" s="14"/>
      <c r="WGO154" s="14"/>
      <c r="WGP154" s="14"/>
      <c r="WGQ154" s="14"/>
      <c r="WGR154" s="14"/>
      <c r="WGS154" s="14"/>
      <c r="WGT154" s="14"/>
      <c r="WGU154" s="14"/>
      <c r="WGV154" s="14"/>
      <c r="WGW154" s="14"/>
      <c r="WGX154" s="14"/>
      <c r="WGY154" s="14"/>
      <c r="WGZ154" s="14"/>
      <c r="WHA154" s="14"/>
      <c r="WHB154" s="14"/>
      <c r="WHC154" s="14"/>
      <c r="WHD154" s="14"/>
      <c r="WHE154" s="14"/>
      <c r="WHF154" s="14"/>
      <c r="WHG154" s="14"/>
      <c r="WHH154" s="14"/>
      <c r="WHI154" s="14"/>
      <c r="WHJ154" s="14"/>
      <c r="WHK154" s="14"/>
      <c r="WHL154" s="14"/>
      <c r="WHM154" s="14"/>
      <c r="WHN154" s="14"/>
      <c r="WHO154" s="14"/>
      <c r="WHP154" s="14"/>
      <c r="WHQ154" s="14"/>
      <c r="WHR154" s="14"/>
      <c r="WHS154" s="14"/>
      <c r="WHT154" s="14"/>
      <c r="WHU154" s="14"/>
      <c r="WHV154" s="14"/>
      <c r="WHW154" s="14"/>
      <c r="WHX154" s="14"/>
      <c r="WHY154" s="14"/>
      <c r="WHZ154" s="14"/>
      <c r="WIA154" s="14"/>
      <c r="WIB154" s="14"/>
      <c r="WIC154" s="14"/>
      <c r="WID154" s="14"/>
      <c r="WIE154" s="14"/>
      <c r="WIF154" s="14"/>
      <c r="WIG154" s="14"/>
      <c r="WIH154" s="14"/>
      <c r="WII154" s="14"/>
      <c r="WIJ154" s="14"/>
      <c r="WIK154" s="14"/>
      <c r="WIL154" s="14"/>
      <c r="WIM154" s="14"/>
      <c r="WIN154" s="14"/>
      <c r="WIO154" s="14"/>
      <c r="WIP154" s="14"/>
      <c r="WIQ154" s="14"/>
      <c r="WIR154" s="14"/>
      <c r="WIS154" s="14"/>
      <c r="WIT154" s="14"/>
      <c r="WIU154" s="14"/>
      <c r="WIV154" s="14"/>
      <c r="WIW154" s="14"/>
      <c r="WIX154" s="14"/>
      <c r="WIY154" s="14"/>
      <c r="WIZ154" s="14"/>
      <c r="WJA154" s="14"/>
      <c r="WJB154" s="14"/>
      <c r="WJC154" s="14"/>
      <c r="WJD154" s="14"/>
      <c r="WJE154" s="14"/>
      <c r="WJF154" s="14"/>
      <c r="WJG154" s="14"/>
      <c r="WJH154" s="14"/>
      <c r="WJI154" s="14"/>
      <c r="WJJ154" s="14"/>
      <c r="WJK154" s="14"/>
      <c r="WJL154" s="14"/>
      <c r="WJM154" s="14"/>
      <c r="WJN154" s="14"/>
      <c r="WJO154" s="14"/>
      <c r="WJP154" s="14"/>
      <c r="WJQ154" s="14"/>
      <c r="WJR154" s="14"/>
      <c r="WJS154" s="14"/>
      <c r="WJT154" s="14"/>
      <c r="WJU154" s="14"/>
      <c r="WJV154" s="14"/>
      <c r="WJW154" s="14"/>
      <c r="WJX154" s="14"/>
      <c r="WJY154" s="14"/>
      <c r="WJZ154" s="14"/>
      <c r="WKA154" s="14"/>
      <c r="WKB154" s="14"/>
      <c r="WKC154" s="14"/>
      <c r="WKD154" s="14"/>
      <c r="WKE154" s="14"/>
      <c r="WKF154" s="14"/>
      <c r="WKG154" s="14"/>
      <c r="WKH154" s="14"/>
      <c r="WKI154" s="14"/>
      <c r="WKJ154" s="14"/>
      <c r="WKK154" s="14"/>
      <c r="WKL154" s="14"/>
      <c r="WKM154" s="14"/>
      <c r="WKN154" s="14"/>
      <c r="WKO154" s="14"/>
      <c r="WKP154" s="14"/>
      <c r="WKQ154" s="14"/>
      <c r="WKR154" s="14"/>
      <c r="WKS154" s="14"/>
      <c r="WKT154" s="14"/>
      <c r="WKU154" s="14"/>
      <c r="WKV154" s="14"/>
      <c r="WKW154" s="14"/>
      <c r="WKX154" s="14"/>
      <c r="WKY154" s="14"/>
      <c r="WKZ154" s="14"/>
      <c r="WLA154" s="14"/>
      <c r="WLB154" s="14"/>
      <c r="WLC154" s="14"/>
      <c r="WLD154" s="14"/>
      <c r="WLE154" s="14"/>
      <c r="WLF154" s="14"/>
      <c r="WLG154" s="14"/>
      <c r="WLH154" s="14"/>
      <c r="WLI154" s="14"/>
      <c r="WLJ154" s="14"/>
      <c r="WLK154" s="14"/>
      <c r="WLL154" s="14"/>
      <c r="WLM154" s="14"/>
      <c r="WLN154" s="14"/>
      <c r="WLO154" s="14"/>
      <c r="WLP154" s="14"/>
      <c r="WLQ154" s="14"/>
      <c r="WLR154" s="14"/>
      <c r="WLS154" s="14"/>
      <c r="WLT154" s="14"/>
      <c r="WLU154" s="14"/>
      <c r="WLV154" s="14"/>
      <c r="WLW154" s="14"/>
      <c r="WLX154" s="14"/>
      <c r="WLY154" s="14"/>
      <c r="WLZ154" s="14"/>
      <c r="WMA154" s="14"/>
      <c r="WMB154" s="14"/>
      <c r="WMC154" s="14"/>
      <c r="WMD154" s="14"/>
      <c r="WME154" s="14"/>
      <c r="WMF154" s="14"/>
      <c r="WMG154" s="14"/>
      <c r="WMH154" s="14"/>
      <c r="WMI154" s="14"/>
      <c r="WMJ154" s="14"/>
      <c r="WMK154" s="14"/>
      <c r="WML154" s="14"/>
      <c r="WMM154" s="14"/>
      <c r="WMN154" s="14"/>
      <c r="WMO154" s="14"/>
      <c r="WMP154" s="14"/>
      <c r="WMQ154" s="14"/>
      <c r="WMR154" s="14"/>
      <c r="WMS154" s="14"/>
      <c r="WMT154" s="14"/>
      <c r="WMU154" s="14"/>
      <c r="WMV154" s="14"/>
      <c r="WMW154" s="14"/>
      <c r="WMX154" s="14"/>
      <c r="WMY154" s="14"/>
      <c r="WMZ154" s="14"/>
      <c r="WNA154" s="14"/>
      <c r="WNB154" s="14"/>
      <c r="WNC154" s="14"/>
      <c r="WND154" s="14"/>
      <c r="WNE154" s="14"/>
      <c r="WNF154" s="14"/>
      <c r="WNG154" s="14"/>
      <c r="WNH154" s="14"/>
      <c r="WNI154" s="14"/>
      <c r="WNJ154" s="14"/>
      <c r="WNK154" s="14"/>
      <c r="WNL154" s="14"/>
      <c r="WNM154" s="14"/>
      <c r="WNN154" s="14"/>
      <c r="WNO154" s="14"/>
      <c r="WNP154" s="14"/>
      <c r="WNQ154" s="14"/>
      <c r="WNR154" s="14"/>
      <c r="WNS154" s="14"/>
      <c r="WNT154" s="14"/>
      <c r="WNU154" s="14"/>
      <c r="WNV154" s="14"/>
      <c r="WNW154" s="14"/>
      <c r="WNX154" s="14"/>
      <c r="WNY154" s="14"/>
      <c r="WNZ154" s="14"/>
      <c r="WOA154" s="14"/>
      <c r="WOB154" s="14"/>
      <c r="WOC154" s="14"/>
      <c r="WOD154" s="14"/>
      <c r="WOE154" s="14"/>
      <c r="WOF154" s="14"/>
      <c r="WOG154" s="14"/>
      <c r="WOH154" s="14"/>
      <c r="WOI154" s="14"/>
      <c r="WOJ154" s="14"/>
      <c r="WOK154" s="14"/>
      <c r="WOL154" s="14"/>
      <c r="WOM154" s="14"/>
      <c r="WON154" s="14"/>
      <c r="WOO154" s="14"/>
      <c r="WOP154" s="14"/>
      <c r="WOQ154" s="14"/>
      <c r="WOR154" s="14"/>
      <c r="WOS154" s="14"/>
      <c r="WOT154" s="14"/>
      <c r="WOU154" s="14"/>
      <c r="WOV154" s="14"/>
      <c r="WOW154" s="14"/>
      <c r="WOX154" s="14"/>
      <c r="WOY154" s="14"/>
      <c r="WOZ154" s="14"/>
      <c r="WPA154" s="14"/>
      <c r="WPB154" s="14"/>
      <c r="WPC154" s="14"/>
      <c r="WPD154" s="14"/>
      <c r="WPE154" s="14"/>
      <c r="WPF154" s="14"/>
      <c r="WPG154" s="14"/>
      <c r="WPH154" s="14"/>
      <c r="WPI154" s="14"/>
      <c r="WPJ154" s="14"/>
      <c r="WPK154" s="14"/>
      <c r="WPL154" s="14"/>
      <c r="WPM154" s="14"/>
      <c r="WPN154" s="14"/>
      <c r="WPO154" s="14"/>
      <c r="WPP154" s="14"/>
      <c r="WPQ154" s="14"/>
      <c r="WPR154" s="14"/>
      <c r="WPS154" s="14"/>
      <c r="WPT154" s="14"/>
      <c r="WPU154" s="14"/>
      <c r="WPV154" s="14"/>
      <c r="WPW154" s="14"/>
      <c r="WPX154" s="14"/>
      <c r="WPY154" s="14"/>
      <c r="WPZ154" s="14"/>
      <c r="WQA154" s="14"/>
      <c r="WQB154" s="14"/>
      <c r="WQC154" s="14"/>
      <c r="WQD154" s="14"/>
      <c r="WQE154" s="14"/>
      <c r="WQF154" s="14"/>
      <c r="WQG154" s="14"/>
      <c r="WQH154" s="14"/>
      <c r="WQI154" s="14"/>
      <c r="WQJ154" s="14"/>
      <c r="WQK154" s="14"/>
      <c r="WQL154" s="14"/>
      <c r="WQM154" s="14"/>
      <c r="WQN154" s="14"/>
      <c r="WQO154" s="14"/>
      <c r="WQP154" s="14"/>
      <c r="WQQ154" s="14"/>
      <c r="WQR154" s="14"/>
      <c r="WQS154" s="14"/>
      <c r="WQT154" s="14"/>
      <c r="WQU154" s="14"/>
      <c r="WQV154" s="14"/>
      <c r="WQW154" s="14"/>
      <c r="WQX154" s="14"/>
      <c r="WQY154" s="14"/>
      <c r="WQZ154" s="14"/>
      <c r="WRA154" s="14"/>
      <c r="WRB154" s="14"/>
      <c r="WRC154" s="14"/>
      <c r="WRD154" s="14"/>
      <c r="WRE154" s="14"/>
      <c r="WRF154" s="14"/>
      <c r="WRG154" s="14"/>
      <c r="WRH154" s="14"/>
      <c r="WRI154" s="14"/>
      <c r="WRJ154" s="14"/>
      <c r="WRK154" s="14"/>
      <c r="WRL154" s="14"/>
      <c r="WRM154" s="14"/>
      <c r="WRN154" s="14"/>
      <c r="WRO154" s="14"/>
      <c r="WRP154" s="14"/>
      <c r="WRQ154" s="14"/>
      <c r="WRR154" s="14"/>
      <c r="WRS154" s="14"/>
      <c r="WRT154" s="14"/>
      <c r="WRU154" s="14"/>
      <c r="WRV154" s="14"/>
      <c r="WRW154" s="14"/>
      <c r="WRX154" s="14"/>
      <c r="WRY154" s="14"/>
      <c r="WRZ154" s="14"/>
      <c r="WSA154" s="14"/>
      <c r="WSB154" s="14"/>
      <c r="WSC154" s="14"/>
      <c r="WSD154" s="14"/>
      <c r="WSE154" s="14"/>
      <c r="WSF154" s="14"/>
      <c r="WSG154" s="14"/>
      <c r="WSH154" s="14"/>
      <c r="WSI154" s="14"/>
      <c r="WSJ154" s="14"/>
      <c r="WSK154" s="14"/>
      <c r="WSL154" s="14"/>
      <c r="WSM154" s="14"/>
      <c r="WSN154" s="14"/>
      <c r="WSO154" s="14"/>
      <c r="WSP154" s="14"/>
      <c r="WSQ154" s="14"/>
      <c r="WSR154" s="14"/>
      <c r="WSS154" s="14"/>
      <c r="WST154" s="14"/>
      <c r="WSU154" s="14"/>
      <c r="WSV154" s="14"/>
      <c r="WSW154" s="14"/>
      <c r="WSX154" s="14"/>
      <c r="WSY154" s="14"/>
      <c r="WSZ154" s="14"/>
      <c r="WTA154" s="14"/>
      <c r="WTB154" s="14"/>
      <c r="WTC154" s="14"/>
      <c r="WTD154" s="14"/>
      <c r="WTE154" s="14"/>
      <c r="WTF154" s="14"/>
      <c r="WTG154" s="14"/>
      <c r="WTH154" s="14"/>
      <c r="WTI154" s="14"/>
      <c r="WTJ154" s="14"/>
      <c r="WTK154" s="14"/>
      <c r="WTL154" s="14"/>
      <c r="WTM154" s="14"/>
      <c r="WTN154" s="14"/>
      <c r="WTO154" s="14"/>
      <c r="WTP154" s="14"/>
      <c r="WTQ154" s="14"/>
      <c r="WTR154" s="14"/>
      <c r="WTS154" s="14"/>
      <c r="WTT154" s="14"/>
      <c r="WTU154" s="14"/>
      <c r="WTV154" s="14"/>
      <c r="WTW154" s="14"/>
      <c r="WTX154" s="14"/>
      <c r="WTY154" s="14"/>
      <c r="WTZ154" s="14"/>
      <c r="WUA154" s="14"/>
      <c r="WUB154" s="14"/>
      <c r="WUC154" s="14"/>
      <c r="WUD154" s="14"/>
      <c r="WUE154" s="14"/>
      <c r="WUF154" s="14"/>
      <c r="WUG154" s="14"/>
      <c r="WUH154" s="14"/>
      <c r="WUI154" s="14"/>
      <c r="WUJ154" s="14"/>
      <c r="WUK154" s="14"/>
      <c r="WUL154" s="14"/>
      <c r="WUM154" s="14"/>
      <c r="WUN154" s="14"/>
      <c r="WUO154" s="14"/>
      <c r="WUP154" s="14"/>
      <c r="WUQ154" s="14"/>
      <c r="WUR154" s="14"/>
      <c r="WUS154" s="14"/>
      <c r="WUT154" s="14"/>
      <c r="WUU154" s="14"/>
      <c r="WUV154" s="14"/>
      <c r="WUW154" s="14"/>
      <c r="WUX154" s="14"/>
      <c r="WUY154" s="14"/>
      <c r="WUZ154" s="14"/>
      <c r="WVA154" s="14"/>
      <c r="WVB154" s="14"/>
      <c r="WVC154" s="14"/>
      <c r="WVD154" s="14"/>
      <c r="WVE154" s="14"/>
      <c r="WVF154" s="14"/>
      <c r="WVG154" s="14"/>
      <c r="WVH154" s="14"/>
      <c r="WVI154" s="14"/>
      <c r="WVJ154" s="14"/>
      <c r="WVK154" s="14"/>
      <c r="WVL154" s="14"/>
      <c r="WVM154" s="14"/>
      <c r="WVN154" s="14"/>
      <c r="WVO154" s="14"/>
      <c r="WVP154" s="14"/>
      <c r="WVQ154" s="14"/>
      <c r="WVR154" s="14"/>
      <c r="WVS154" s="14"/>
      <c r="WVT154" s="14"/>
      <c r="WVU154" s="14"/>
      <c r="WVV154" s="14"/>
      <c r="WVW154" s="14"/>
      <c r="WVX154" s="14"/>
      <c r="WVY154" s="14"/>
      <c r="WVZ154" s="14"/>
      <c r="WWA154" s="14"/>
      <c r="WWB154" s="14"/>
      <c r="WWC154" s="14"/>
      <c r="WWD154" s="14"/>
      <c r="WWE154" s="14"/>
      <c r="WWF154" s="14"/>
      <c r="WWG154" s="14"/>
      <c r="WWH154" s="14"/>
      <c r="WWI154" s="14"/>
      <c r="WWJ154" s="14"/>
      <c r="WWK154" s="14"/>
      <c r="WWL154" s="14"/>
      <c r="WWM154" s="14"/>
      <c r="WWN154" s="14"/>
      <c r="WWO154" s="14"/>
      <c r="WWP154" s="14"/>
      <c r="WWQ154" s="14"/>
      <c r="WWR154" s="14"/>
      <c r="WWS154" s="14"/>
      <c r="WWT154" s="14"/>
      <c r="WWU154" s="14"/>
      <c r="WWV154" s="14"/>
      <c r="WWW154" s="14"/>
      <c r="WWX154" s="14"/>
      <c r="WWY154" s="14"/>
      <c r="WWZ154" s="14"/>
      <c r="WXA154" s="14"/>
      <c r="WXB154" s="14"/>
      <c r="WXC154" s="14"/>
      <c r="WXD154" s="14"/>
      <c r="WXE154" s="14"/>
      <c r="WXF154" s="14"/>
      <c r="WXG154" s="14"/>
      <c r="WXH154" s="14"/>
      <c r="WXI154" s="14"/>
      <c r="WXJ154" s="14"/>
      <c r="WXK154" s="14"/>
      <c r="WXL154" s="14"/>
      <c r="WXM154" s="14"/>
      <c r="WXN154" s="14"/>
      <c r="WXO154" s="14"/>
      <c r="WXP154" s="14"/>
      <c r="WXQ154" s="14"/>
      <c r="WXR154" s="14"/>
      <c r="WXS154" s="14"/>
      <c r="WXT154" s="14"/>
      <c r="WXU154" s="14"/>
      <c r="WXV154" s="14"/>
      <c r="WXW154" s="14"/>
      <c r="WXX154" s="14"/>
      <c r="WXY154" s="14"/>
      <c r="WXZ154" s="14"/>
      <c r="WYA154" s="14"/>
      <c r="WYB154" s="14"/>
      <c r="WYC154" s="14"/>
      <c r="WYD154" s="14"/>
      <c r="WYE154" s="14"/>
      <c r="WYF154" s="14"/>
      <c r="WYG154" s="14"/>
      <c r="WYH154" s="14"/>
      <c r="WYI154" s="14"/>
      <c r="WYJ154" s="14"/>
      <c r="WYK154" s="14"/>
      <c r="WYL154" s="14"/>
      <c r="WYM154" s="14"/>
      <c r="WYN154" s="14"/>
      <c r="WYO154" s="14"/>
      <c r="WYP154" s="14"/>
      <c r="WYQ154" s="14"/>
      <c r="WYR154" s="14"/>
      <c r="WYS154" s="14"/>
      <c r="WYT154" s="14"/>
      <c r="WYU154" s="14"/>
      <c r="WYV154" s="14"/>
      <c r="WYW154" s="14"/>
      <c r="WYX154" s="14"/>
      <c r="WYY154" s="14"/>
      <c r="WYZ154" s="14"/>
      <c r="WZA154" s="14"/>
      <c r="WZB154" s="14"/>
      <c r="WZC154" s="14"/>
      <c r="WZD154" s="14"/>
      <c r="WZE154" s="14"/>
      <c r="WZF154" s="14"/>
      <c r="WZG154" s="14"/>
      <c r="WZH154" s="14"/>
      <c r="WZI154" s="14"/>
      <c r="WZJ154" s="14"/>
      <c r="WZK154" s="14"/>
      <c r="WZL154" s="14"/>
      <c r="WZM154" s="14"/>
      <c r="WZN154" s="14"/>
      <c r="WZO154" s="14"/>
      <c r="WZP154" s="14"/>
      <c r="WZQ154" s="14"/>
      <c r="WZR154" s="14"/>
      <c r="WZS154" s="14"/>
      <c r="WZT154" s="14"/>
      <c r="WZU154" s="14"/>
      <c r="WZV154" s="14"/>
      <c r="WZW154" s="14"/>
      <c r="WZX154" s="14"/>
      <c r="WZY154" s="14"/>
      <c r="WZZ154" s="14"/>
      <c r="XAA154" s="14"/>
      <c r="XAB154" s="14"/>
      <c r="XAC154" s="14"/>
      <c r="XAD154" s="14"/>
      <c r="XAE154" s="14"/>
      <c r="XAF154" s="14"/>
      <c r="XAG154" s="14"/>
      <c r="XAH154" s="14"/>
      <c r="XAI154" s="14"/>
      <c r="XAJ154" s="14"/>
      <c r="XAK154" s="14"/>
      <c r="XAL154" s="14"/>
      <c r="XAM154" s="14"/>
      <c r="XAN154" s="14"/>
      <c r="XAO154" s="14"/>
      <c r="XAP154" s="14"/>
      <c r="XAQ154" s="14"/>
      <c r="XAR154" s="14"/>
      <c r="XAS154" s="14"/>
      <c r="XAT154" s="14"/>
      <c r="XAU154" s="14"/>
      <c r="XAV154" s="14"/>
      <c r="XAW154" s="14"/>
      <c r="XAX154" s="14"/>
      <c r="XAY154" s="14"/>
      <c r="XAZ154" s="14"/>
      <c r="XBA154" s="14"/>
      <c r="XBB154" s="14"/>
      <c r="XBC154" s="14"/>
      <c r="XBD154" s="14"/>
      <c r="XBE154" s="14"/>
      <c r="XBF154" s="14"/>
      <c r="XBG154" s="14"/>
      <c r="XBH154" s="14"/>
      <c r="XBI154" s="14"/>
      <c r="XBJ154" s="14"/>
      <c r="XBK154" s="14"/>
      <c r="XBL154" s="14"/>
      <c r="XBM154" s="14"/>
      <c r="XBN154" s="14"/>
      <c r="XBO154" s="14"/>
      <c r="XBP154" s="14"/>
      <c r="XBQ154" s="14"/>
      <c r="XBR154" s="14"/>
      <c r="XBS154" s="14"/>
      <c r="XBT154" s="14"/>
      <c r="XBU154" s="14"/>
      <c r="XBV154" s="14"/>
      <c r="XBW154" s="14"/>
      <c r="XBX154" s="14"/>
      <c r="XBY154" s="14"/>
      <c r="XBZ154" s="14"/>
      <c r="XCA154" s="14"/>
      <c r="XCB154" s="14"/>
      <c r="XCC154" s="14"/>
      <c r="XCD154" s="14"/>
      <c r="XCE154" s="14"/>
      <c r="XCF154" s="14"/>
      <c r="XCG154" s="14"/>
      <c r="XCH154" s="14"/>
      <c r="XCI154" s="14"/>
      <c r="XCJ154" s="14"/>
      <c r="XCK154" s="14"/>
      <c r="XCL154" s="14"/>
      <c r="XCM154" s="14"/>
      <c r="XCN154" s="14"/>
      <c r="XCO154" s="14"/>
      <c r="XCP154" s="14"/>
      <c r="XCQ154" s="14"/>
      <c r="XCR154" s="14"/>
      <c r="XCS154" s="14"/>
      <c r="XCT154" s="14"/>
      <c r="XCU154" s="14"/>
      <c r="XCV154" s="14"/>
      <c r="XCW154" s="14"/>
      <c r="XCX154" s="14"/>
      <c r="XCY154" s="14"/>
      <c r="XCZ154" s="14"/>
      <c r="XDA154" s="14"/>
      <c r="XDB154" s="14"/>
      <c r="XDC154" s="14"/>
      <c r="XDD154" s="14"/>
      <c r="XDE154" s="14"/>
      <c r="XDF154" s="14"/>
      <c r="XDG154" s="14"/>
      <c r="XDH154" s="14"/>
      <c r="XDI154" s="14"/>
      <c r="XDJ154" s="14"/>
      <c r="XDK154" s="14"/>
      <c r="XDL154" s="14"/>
      <c r="XDM154" s="14"/>
      <c r="XDN154" s="14"/>
      <c r="XDO154" s="14"/>
      <c r="XDP154" s="14"/>
      <c r="XDQ154" s="14"/>
      <c r="XDR154" s="14"/>
      <c r="XDS154" s="14"/>
      <c r="XDT154" s="14"/>
      <c r="XDU154" s="14"/>
      <c r="XDV154" s="14"/>
      <c r="XDW154" s="14"/>
      <c r="XDX154" s="14"/>
      <c r="XDY154" s="14"/>
      <c r="XDZ154" s="14"/>
      <c r="XEA154" s="14"/>
      <c r="XEB154" s="14"/>
      <c r="XEC154" s="14"/>
      <c r="XED154" s="14"/>
      <c r="XEE154" s="14"/>
      <c r="XEF154" s="14"/>
      <c r="XEG154" s="14"/>
      <c r="XEH154" s="14"/>
      <c r="XEI154" s="14"/>
      <c r="XEJ154" s="14"/>
      <c r="XEK154" s="14"/>
      <c r="XEL154" s="14"/>
      <c r="XEM154" s="14"/>
      <c r="XEN154" s="14"/>
      <c r="XEO154" s="14"/>
      <c r="XEP154" s="14"/>
      <c r="XEQ154" s="14"/>
      <c r="XER154" s="14"/>
      <c r="XES154" s="14"/>
      <c r="XET154" s="14"/>
      <c r="XEU154" s="14"/>
      <c r="XEV154" s="14"/>
    </row>
    <row r="155" spans="1:16376" s="15" customFormat="1" x14ac:dyDescent="0.3">
      <c r="A155" s="5" t="str">
        <f>"0346460"</f>
        <v>0346460</v>
      </c>
      <c r="B155" s="6" t="s">
        <v>95</v>
      </c>
      <c r="C155" s="26" t="str">
        <f>"4008948121005"</f>
        <v>4008948121005</v>
      </c>
      <c r="D155" s="5" t="s">
        <v>29</v>
      </c>
      <c r="E155" s="6" t="s">
        <v>5</v>
      </c>
      <c r="F155" s="8">
        <v>42497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14"/>
      <c r="JR155" s="14"/>
      <c r="JS155" s="14"/>
      <c r="JT155" s="14"/>
      <c r="JU155" s="14"/>
      <c r="JV155" s="14"/>
      <c r="JW155" s="14"/>
      <c r="JX155" s="14"/>
      <c r="JY155" s="14"/>
      <c r="JZ155" s="14"/>
      <c r="KA155" s="14"/>
      <c r="KB155" s="14"/>
      <c r="KC155" s="14"/>
      <c r="KD155" s="14"/>
      <c r="KE155" s="14"/>
      <c r="KF155" s="14"/>
      <c r="KG155" s="14"/>
      <c r="KH155" s="14"/>
      <c r="KI155" s="14"/>
      <c r="KJ155" s="14"/>
      <c r="KK155" s="14"/>
      <c r="KL155" s="14"/>
      <c r="KM155" s="14"/>
      <c r="KN155" s="14"/>
      <c r="KO155" s="14"/>
      <c r="KP155" s="14"/>
      <c r="KQ155" s="14"/>
      <c r="KR155" s="14"/>
      <c r="KS155" s="14"/>
      <c r="KT155" s="14"/>
      <c r="KU155" s="14"/>
      <c r="KV155" s="14"/>
      <c r="KW155" s="14"/>
      <c r="KX155" s="14"/>
      <c r="KY155" s="14"/>
      <c r="KZ155" s="14"/>
      <c r="LA155" s="14"/>
      <c r="LB155" s="14"/>
      <c r="LC155" s="14"/>
      <c r="LD155" s="14"/>
      <c r="LE155" s="14"/>
      <c r="LF155" s="14"/>
      <c r="LG155" s="14"/>
      <c r="LH155" s="14"/>
      <c r="LI155" s="14"/>
      <c r="LJ155" s="14"/>
      <c r="LK155" s="14"/>
      <c r="LL155" s="14"/>
      <c r="LM155" s="14"/>
      <c r="LN155" s="14"/>
      <c r="LO155" s="14"/>
      <c r="LP155" s="14"/>
      <c r="LQ155" s="14"/>
      <c r="LR155" s="14"/>
      <c r="LS155" s="14"/>
      <c r="LT155" s="14"/>
      <c r="LU155" s="14"/>
      <c r="LV155" s="14"/>
      <c r="LW155" s="14"/>
      <c r="LX155" s="14"/>
      <c r="LY155" s="14"/>
      <c r="LZ155" s="14"/>
      <c r="MA155" s="14"/>
      <c r="MB155" s="14"/>
      <c r="MC155" s="14"/>
      <c r="MD155" s="14"/>
      <c r="ME155" s="14"/>
      <c r="MF155" s="14"/>
      <c r="MG155" s="14"/>
      <c r="MH155" s="14"/>
      <c r="MI155" s="14"/>
      <c r="MJ155" s="14"/>
      <c r="MK155" s="14"/>
      <c r="ML155" s="14"/>
      <c r="MM155" s="14"/>
      <c r="MN155" s="14"/>
      <c r="MO155" s="14"/>
      <c r="MP155" s="14"/>
      <c r="MQ155" s="14"/>
      <c r="MR155" s="14"/>
      <c r="MS155" s="14"/>
      <c r="MT155" s="14"/>
      <c r="MU155" s="14"/>
      <c r="MV155" s="14"/>
      <c r="MW155" s="14"/>
      <c r="MX155" s="14"/>
      <c r="MY155" s="14"/>
      <c r="MZ155" s="14"/>
      <c r="NA155" s="14"/>
      <c r="NB155" s="14"/>
      <c r="NC155" s="14"/>
      <c r="ND155" s="14"/>
      <c r="NE155" s="14"/>
      <c r="NF155" s="14"/>
      <c r="NG155" s="14"/>
      <c r="NH155" s="14"/>
      <c r="NI155" s="14"/>
      <c r="NJ155" s="14"/>
      <c r="NK155" s="14"/>
      <c r="NL155" s="14"/>
      <c r="NM155" s="14"/>
      <c r="NN155" s="14"/>
      <c r="NO155" s="14"/>
      <c r="NP155" s="14"/>
      <c r="NQ155" s="14"/>
      <c r="NR155" s="14"/>
      <c r="NS155" s="14"/>
      <c r="NT155" s="14"/>
      <c r="NU155" s="14"/>
      <c r="NV155" s="14"/>
      <c r="NW155" s="14"/>
      <c r="NX155" s="14"/>
      <c r="NY155" s="14"/>
      <c r="NZ155" s="14"/>
      <c r="OA155" s="14"/>
      <c r="OB155" s="14"/>
      <c r="OC155" s="14"/>
      <c r="OD155" s="14"/>
      <c r="OE155" s="14"/>
      <c r="OF155" s="14"/>
      <c r="OG155" s="14"/>
      <c r="OH155" s="14"/>
      <c r="OI155" s="14"/>
      <c r="OJ155" s="14"/>
      <c r="OK155" s="14"/>
      <c r="OL155" s="14"/>
      <c r="OM155" s="14"/>
      <c r="ON155" s="14"/>
      <c r="OO155" s="14"/>
      <c r="OP155" s="14"/>
      <c r="OQ155" s="14"/>
      <c r="OR155" s="14"/>
      <c r="OS155" s="14"/>
      <c r="OT155" s="14"/>
      <c r="OU155" s="14"/>
      <c r="OV155" s="14"/>
      <c r="OW155" s="14"/>
      <c r="OX155" s="14"/>
      <c r="OY155" s="14"/>
      <c r="OZ155" s="14"/>
      <c r="PA155" s="14"/>
      <c r="PB155" s="14"/>
      <c r="PC155" s="14"/>
      <c r="PD155" s="14"/>
      <c r="PE155" s="14"/>
      <c r="PF155" s="14"/>
      <c r="PG155" s="14"/>
      <c r="PH155" s="14"/>
      <c r="PI155" s="14"/>
      <c r="PJ155" s="14"/>
      <c r="PK155" s="14"/>
      <c r="PL155" s="14"/>
      <c r="PM155" s="14"/>
      <c r="PN155" s="14"/>
      <c r="PO155" s="14"/>
      <c r="PP155" s="14"/>
      <c r="PQ155" s="14"/>
      <c r="PR155" s="14"/>
      <c r="PS155" s="14"/>
      <c r="PT155" s="14"/>
      <c r="PU155" s="14"/>
      <c r="PV155" s="14"/>
      <c r="PW155" s="14"/>
      <c r="PX155" s="14"/>
      <c r="PY155" s="14"/>
      <c r="PZ155" s="14"/>
      <c r="QA155" s="14"/>
      <c r="QB155" s="14"/>
      <c r="QC155" s="14"/>
      <c r="QD155" s="14"/>
      <c r="QE155" s="14"/>
      <c r="QF155" s="14"/>
      <c r="QG155" s="14"/>
      <c r="QH155" s="14"/>
      <c r="QI155" s="14"/>
      <c r="QJ155" s="14"/>
      <c r="QK155" s="14"/>
      <c r="QL155" s="14"/>
      <c r="QM155" s="14"/>
      <c r="QN155" s="14"/>
      <c r="QO155" s="14"/>
      <c r="QP155" s="14"/>
      <c r="QQ155" s="14"/>
      <c r="QR155" s="14"/>
      <c r="QS155" s="14"/>
      <c r="QT155" s="14"/>
      <c r="QU155" s="14"/>
      <c r="QV155" s="14"/>
      <c r="QW155" s="14"/>
      <c r="QX155" s="14"/>
      <c r="QY155" s="14"/>
      <c r="QZ155" s="14"/>
      <c r="RA155" s="14"/>
      <c r="RB155" s="14"/>
      <c r="RC155" s="14"/>
      <c r="RD155" s="14"/>
      <c r="RE155" s="14"/>
      <c r="RF155" s="14"/>
      <c r="RG155" s="14"/>
      <c r="RH155" s="14"/>
      <c r="RI155" s="14"/>
      <c r="RJ155" s="14"/>
      <c r="RK155" s="14"/>
      <c r="RL155" s="14"/>
      <c r="RM155" s="14"/>
      <c r="RN155" s="14"/>
      <c r="RO155" s="14"/>
      <c r="RP155" s="14"/>
      <c r="RQ155" s="14"/>
      <c r="RR155" s="14"/>
      <c r="RS155" s="14"/>
      <c r="RT155" s="14"/>
      <c r="RU155" s="14"/>
      <c r="RV155" s="14"/>
      <c r="RW155" s="14"/>
      <c r="RX155" s="14"/>
      <c r="RY155" s="14"/>
      <c r="RZ155" s="14"/>
      <c r="SA155" s="14"/>
      <c r="SB155" s="14"/>
      <c r="SC155" s="14"/>
      <c r="SD155" s="14"/>
      <c r="SE155" s="14"/>
      <c r="SF155" s="14"/>
      <c r="SG155" s="14"/>
      <c r="SH155" s="14"/>
      <c r="SI155" s="14"/>
      <c r="SJ155" s="14"/>
      <c r="SK155" s="14"/>
      <c r="SL155" s="14"/>
      <c r="SM155" s="14"/>
      <c r="SN155" s="14"/>
      <c r="SO155" s="14"/>
      <c r="SP155" s="14"/>
      <c r="SQ155" s="14"/>
      <c r="SR155" s="14"/>
      <c r="SS155" s="14"/>
      <c r="ST155" s="14"/>
      <c r="SU155" s="14"/>
      <c r="SV155" s="14"/>
      <c r="SW155" s="14"/>
      <c r="SX155" s="14"/>
      <c r="SY155" s="14"/>
      <c r="SZ155" s="14"/>
      <c r="TA155" s="14"/>
      <c r="TB155" s="14"/>
      <c r="TC155" s="14"/>
      <c r="TD155" s="14"/>
      <c r="TE155" s="14"/>
      <c r="TF155" s="14"/>
      <c r="TG155" s="14"/>
      <c r="TH155" s="14"/>
      <c r="TI155" s="14"/>
      <c r="TJ155" s="14"/>
      <c r="TK155" s="14"/>
      <c r="TL155" s="14"/>
      <c r="TM155" s="14"/>
      <c r="TN155" s="14"/>
      <c r="TO155" s="14"/>
      <c r="TP155" s="14"/>
      <c r="TQ155" s="14"/>
      <c r="TR155" s="14"/>
      <c r="TS155" s="14"/>
      <c r="TT155" s="14"/>
      <c r="TU155" s="14"/>
      <c r="TV155" s="14"/>
      <c r="TW155" s="14"/>
      <c r="TX155" s="14"/>
      <c r="TY155" s="14"/>
      <c r="TZ155" s="14"/>
      <c r="UA155" s="14"/>
      <c r="UB155" s="14"/>
      <c r="UC155" s="14"/>
      <c r="UD155" s="14"/>
      <c r="UE155" s="14"/>
      <c r="UF155" s="14"/>
      <c r="UG155" s="14"/>
      <c r="UH155" s="14"/>
      <c r="UI155" s="14"/>
      <c r="UJ155" s="14"/>
      <c r="UK155" s="14"/>
      <c r="UL155" s="14"/>
      <c r="UM155" s="14"/>
      <c r="UN155" s="14"/>
      <c r="UO155" s="14"/>
      <c r="UP155" s="14"/>
      <c r="UQ155" s="14"/>
      <c r="UR155" s="14"/>
      <c r="US155" s="14"/>
      <c r="UT155" s="14"/>
      <c r="UU155" s="14"/>
      <c r="UV155" s="14"/>
      <c r="UW155" s="14"/>
      <c r="UX155" s="14"/>
      <c r="UY155" s="14"/>
      <c r="UZ155" s="14"/>
      <c r="VA155" s="14"/>
      <c r="VB155" s="14"/>
      <c r="VC155" s="14"/>
      <c r="VD155" s="14"/>
      <c r="VE155" s="14"/>
      <c r="VF155" s="14"/>
      <c r="VG155" s="14"/>
      <c r="VH155" s="14"/>
      <c r="VI155" s="14"/>
      <c r="VJ155" s="14"/>
      <c r="VK155" s="14"/>
      <c r="VL155" s="14"/>
      <c r="VM155" s="14"/>
      <c r="VN155" s="14"/>
      <c r="VO155" s="14"/>
      <c r="VP155" s="14"/>
      <c r="VQ155" s="14"/>
      <c r="VR155" s="14"/>
      <c r="VS155" s="14"/>
      <c r="VT155" s="14"/>
      <c r="VU155" s="14"/>
      <c r="VV155" s="14"/>
      <c r="VW155" s="14"/>
      <c r="VX155" s="14"/>
      <c r="VY155" s="14"/>
      <c r="VZ155" s="14"/>
      <c r="WA155" s="14"/>
      <c r="WB155" s="14"/>
      <c r="WC155" s="14"/>
      <c r="WD155" s="14"/>
      <c r="WE155" s="14"/>
      <c r="WF155" s="14"/>
      <c r="WG155" s="14"/>
      <c r="WH155" s="14"/>
      <c r="WI155" s="14"/>
      <c r="WJ155" s="14"/>
      <c r="WK155" s="14"/>
      <c r="WL155" s="14"/>
      <c r="WM155" s="14"/>
      <c r="WN155" s="14"/>
      <c r="WO155" s="14"/>
      <c r="WP155" s="14"/>
      <c r="WQ155" s="14"/>
      <c r="WR155" s="14"/>
      <c r="WS155" s="14"/>
      <c r="WT155" s="14"/>
      <c r="WU155" s="14"/>
      <c r="WV155" s="14"/>
      <c r="WW155" s="14"/>
      <c r="WX155" s="14"/>
      <c r="WY155" s="14"/>
      <c r="WZ155" s="14"/>
      <c r="XA155" s="14"/>
      <c r="XB155" s="14"/>
      <c r="XC155" s="14"/>
      <c r="XD155" s="14"/>
      <c r="XE155" s="14"/>
      <c r="XF155" s="14"/>
      <c r="XG155" s="14"/>
      <c r="XH155" s="14"/>
      <c r="XI155" s="14"/>
      <c r="XJ155" s="14"/>
      <c r="XK155" s="14"/>
      <c r="XL155" s="14"/>
      <c r="XM155" s="14"/>
      <c r="XN155" s="14"/>
      <c r="XO155" s="14"/>
      <c r="XP155" s="14"/>
      <c r="XQ155" s="14"/>
      <c r="XR155" s="14"/>
      <c r="XS155" s="14"/>
      <c r="XT155" s="14"/>
      <c r="XU155" s="14"/>
      <c r="XV155" s="14"/>
      <c r="XW155" s="14"/>
      <c r="XX155" s="14"/>
      <c r="XY155" s="14"/>
      <c r="XZ155" s="14"/>
      <c r="YA155" s="14"/>
      <c r="YB155" s="14"/>
      <c r="YC155" s="14"/>
      <c r="YD155" s="14"/>
      <c r="YE155" s="14"/>
      <c r="YF155" s="14"/>
      <c r="YG155" s="14"/>
      <c r="YH155" s="14"/>
      <c r="YI155" s="14"/>
      <c r="YJ155" s="14"/>
      <c r="YK155" s="14"/>
      <c r="YL155" s="14"/>
      <c r="YM155" s="14"/>
      <c r="YN155" s="14"/>
      <c r="YO155" s="14"/>
      <c r="YP155" s="14"/>
      <c r="YQ155" s="14"/>
      <c r="YR155" s="14"/>
      <c r="YS155" s="14"/>
      <c r="YT155" s="14"/>
      <c r="YU155" s="14"/>
      <c r="YV155" s="14"/>
      <c r="YW155" s="14"/>
      <c r="YX155" s="14"/>
      <c r="YY155" s="14"/>
      <c r="YZ155" s="14"/>
      <c r="ZA155" s="14"/>
      <c r="ZB155" s="14"/>
      <c r="ZC155" s="14"/>
      <c r="ZD155" s="14"/>
      <c r="ZE155" s="14"/>
      <c r="ZF155" s="14"/>
      <c r="ZG155" s="14"/>
      <c r="ZH155" s="14"/>
      <c r="ZI155" s="14"/>
      <c r="ZJ155" s="14"/>
      <c r="ZK155" s="14"/>
      <c r="ZL155" s="14"/>
      <c r="ZM155" s="14"/>
      <c r="ZN155" s="14"/>
      <c r="ZO155" s="14"/>
      <c r="ZP155" s="14"/>
      <c r="ZQ155" s="14"/>
      <c r="ZR155" s="14"/>
      <c r="ZS155" s="14"/>
      <c r="ZT155" s="14"/>
      <c r="ZU155" s="14"/>
      <c r="ZV155" s="14"/>
      <c r="ZW155" s="14"/>
      <c r="ZX155" s="14"/>
      <c r="ZY155" s="14"/>
      <c r="ZZ155" s="14"/>
      <c r="AAA155" s="14"/>
      <c r="AAB155" s="14"/>
      <c r="AAC155" s="14"/>
      <c r="AAD155" s="14"/>
      <c r="AAE155" s="14"/>
      <c r="AAF155" s="14"/>
      <c r="AAG155" s="14"/>
      <c r="AAH155" s="14"/>
      <c r="AAI155" s="14"/>
      <c r="AAJ155" s="14"/>
      <c r="AAK155" s="14"/>
      <c r="AAL155" s="14"/>
      <c r="AAM155" s="14"/>
      <c r="AAN155" s="14"/>
      <c r="AAO155" s="14"/>
      <c r="AAP155" s="14"/>
      <c r="AAQ155" s="14"/>
      <c r="AAR155" s="14"/>
      <c r="AAS155" s="14"/>
      <c r="AAT155" s="14"/>
      <c r="AAU155" s="14"/>
      <c r="AAV155" s="14"/>
      <c r="AAW155" s="14"/>
      <c r="AAX155" s="14"/>
      <c r="AAY155" s="14"/>
      <c r="AAZ155" s="14"/>
      <c r="ABA155" s="14"/>
      <c r="ABB155" s="14"/>
      <c r="ABC155" s="14"/>
      <c r="ABD155" s="14"/>
      <c r="ABE155" s="14"/>
      <c r="ABF155" s="14"/>
      <c r="ABG155" s="14"/>
      <c r="ABH155" s="14"/>
      <c r="ABI155" s="14"/>
      <c r="ABJ155" s="14"/>
      <c r="ABK155" s="14"/>
      <c r="ABL155" s="14"/>
      <c r="ABM155" s="14"/>
      <c r="ABN155" s="14"/>
      <c r="ABO155" s="14"/>
      <c r="ABP155" s="14"/>
      <c r="ABQ155" s="14"/>
      <c r="ABR155" s="14"/>
      <c r="ABS155" s="14"/>
      <c r="ABT155" s="14"/>
      <c r="ABU155" s="14"/>
      <c r="ABV155" s="14"/>
      <c r="ABW155" s="14"/>
      <c r="ABX155" s="14"/>
      <c r="ABY155" s="14"/>
      <c r="ABZ155" s="14"/>
      <c r="ACA155" s="14"/>
      <c r="ACB155" s="14"/>
      <c r="ACC155" s="14"/>
      <c r="ACD155" s="14"/>
      <c r="ACE155" s="14"/>
      <c r="ACF155" s="14"/>
      <c r="ACG155" s="14"/>
      <c r="ACH155" s="14"/>
      <c r="ACI155" s="14"/>
      <c r="ACJ155" s="14"/>
      <c r="ACK155" s="14"/>
      <c r="ACL155" s="14"/>
      <c r="ACM155" s="14"/>
      <c r="ACN155" s="14"/>
      <c r="ACO155" s="14"/>
      <c r="ACP155" s="14"/>
      <c r="ACQ155" s="14"/>
      <c r="ACR155" s="14"/>
      <c r="ACS155" s="14"/>
      <c r="ACT155" s="14"/>
      <c r="ACU155" s="14"/>
      <c r="ACV155" s="14"/>
      <c r="ACW155" s="14"/>
      <c r="ACX155" s="14"/>
      <c r="ACY155" s="14"/>
      <c r="ACZ155" s="14"/>
      <c r="ADA155" s="14"/>
      <c r="ADB155" s="14"/>
      <c r="ADC155" s="14"/>
      <c r="ADD155" s="14"/>
      <c r="ADE155" s="14"/>
      <c r="ADF155" s="14"/>
      <c r="ADG155" s="14"/>
      <c r="ADH155" s="14"/>
      <c r="ADI155" s="14"/>
      <c r="ADJ155" s="14"/>
      <c r="ADK155" s="14"/>
      <c r="ADL155" s="14"/>
      <c r="ADM155" s="14"/>
      <c r="ADN155" s="14"/>
      <c r="ADO155" s="14"/>
      <c r="ADP155" s="14"/>
      <c r="ADQ155" s="14"/>
      <c r="ADR155" s="14"/>
      <c r="ADS155" s="14"/>
      <c r="ADT155" s="14"/>
      <c r="ADU155" s="14"/>
      <c r="ADV155" s="14"/>
      <c r="ADW155" s="14"/>
      <c r="ADX155" s="14"/>
      <c r="ADY155" s="14"/>
      <c r="ADZ155" s="14"/>
      <c r="AEA155" s="14"/>
      <c r="AEB155" s="14"/>
      <c r="AEC155" s="14"/>
      <c r="AED155" s="14"/>
      <c r="AEE155" s="14"/>
      <c r="AEF155" s="14"/>
      <c r="AEG155" s="14"/>
      <c r="AEH155" s="14"/>
      <c r="AEI155" s="14"/>
      <c r="AEJ155" s="14"/>
      <c r="AEK155" s="14"/>
      <c r="AEL155" s="14"/>
      <c r="AEM155" s="14"/>
      <c r="AEN155" s="14"/>
      <c r="AEO155" s="14"/>
      <c r="AEP155" s="14"/>
      <c r="AEQ155" s="14"/>
      <c r="AER155" s="14"/>
      <c r="AES155" s="14"/>
      <c r="AET155" s="14"/>
      <c r="AEU155" s="14"/>
      <c r="AEV155" s="14"/>
      <c r="AEW155" s="14"/>
      <c r="AEX155" s="14"/>
      <c r="AEY155" s="14"/>
      <c r="AEZ155" s="14"/>
      <c r="AFA155" s="14"/>
      <c r="AFB155" s="14"/>
      <c r="AFC155" s="14"/>
      <c r="AFD155" s="14"/>
      <c r="AFE155" s="14"/>
      <c r="AFF155" s="14"/>
      <c r="AFG155" s="14"/>
      <c r="AFH155" s="14"/>
      <c r="AFI155" s="14"/>
      <c r="AFJ155" s="14"/>
      <c r="AFK155" s="14"/>
      <c r="AFL155" s="14"/>
      <c r="AFM155" s="14"/>
      <c r="AFN155" s="14"/>
      <c r="AFO155" s="14"/>
      <c r="AFP155" s="14"/>
      <c r="AFQ155" s="14"/>
      <c r="AFR155" s="14"/>
      <c r="AFS155" s="14"/>
      <c r="AFT155" s="14"/>
      <c r="AFU155" s="14"/>
      <c r="AFV155" s="14"/>
      <c r="AFW155" s="14"/>
      <c r="AFX155" s="14"/>
      <c r="AFY155" s="14"/>
      <c r="AFZ155" s="14"/>
      <c r="AGA155" s="14"/>
      <c r="AGB155" s="14"/>
      <c r="AGC155" s="14"/>
      <c r="AGD155" s="14"/>
      <c r="AGE155" s="14"/>
      <c r="AGF155" s="14"/>
      <c r="AGG155" s="14"/>
      <c r="AGH155" s="14"/>
      <c r="AGI155" s="14"/>
      <c r="AGJ155" s="14"/>
      <c r="AGK155" s="14"/>
      <c r="AGL155" s="14"/>
      <c r="AGM155" s="14"/>
      <c r="AGN155" s="14"/>
      <c r="AGO155" s="14"/>
      <c r="AGP155" s="14"/>
      <c r="AGQ155" s="14"/>
      <c r="AGR155" s="14"/>
      <c r="AGS155" s="14"/>
      <c r="AGT155" s="14"/>
      <c r="AGU155" s="14"/>
      <c r="AGV155" s="14"/>
      <c r="AGW155" s="14"/>
      <c r="AGX155" s="14"/>
      <c r="AGY155" s="14"/>
      <c r="AGZ155" s="14"/>
      <c r="AHA155" s="14"/>
      <c r="AHB155" s="14"/>
      <c r="AHC155" s="14"/>
      <c r="AHD155" s="14"/>
      <c r="AHE155" s="14"/>
      <c r="AHF155" s="14"/>
      <c r="AHG155" s="14"/>
      <c r="AHH155" s="14"/>
      <c r="AHI155" s="14"/>
      <c r="AHJ155" s="14"/>
      <c r="AHK155" s="14"/>
      <c r="AHL155" s="14"/>
      <c r="AHM155" s="14"/>
      <c r="AHN155" s="14"/>
      <c r="AHO155" s="14"/>
      <c r="AHP155" s="14"/>
      <c r="AHQ155" s="14"/>
      <c r="AHR155" s="14"/>
      <c r="AHS155" s="14"/>
      <c r="AHT155" s="14"/>
      <c r="AHU155" s="14"/>
      <c r="AHV155" s="14"/>
      <c r="AHW155" s="14"/>
      <c r="AHX155" s="14"/>
      <c r="AHY155" s="14"/>
      <c r="AHZ155" s="14"/>
      <c r="AIA155" s="14"/>
      <c r="AIB155" s="14"/>
      <c r="AIC155" s="14"/>
      <c r="AID155" s="14"/>
      <c r="AIE155" s="14"/>
      <c r="AIF155" s="14"/>
      <c r="AIG155" s="14"/>
      <c r="AIH155" s="14"/>
      <c r="AII155" s="14"/>
      <c r="AIJ155" s="14"/>
      <c r="AIK155" s="14"/>
      <c r="AIL155" s="14"/>
      <c r="AIM155" s="14"/>
      <c r="AIN155" s="14"/>
      <c r="AIO155" s="14"/>
      <c r="AIP155" s="14"/>
      <c r="AIQ155" s="14"/>
      <c r="AIR155" s="14"/>
      <c r="AIS155" s="14"/>
      <c r="AIT155" s="14"/>
      <c r="AIU155" s="14"/>
      <c r="AIV155" s="14"/>
      <c r="AIW155" s="14"/>
      <c r="AIX155" s="14"/>
      <c r="AIY155" s="14"/>
      <c r="AIZ155" s="14"/>
      <c r="AJA155" s="14"/>
      <c r="AJB155" s="14"/>
      <c r="AJC155" s="14"/>
      <c r="AJD155" s="14"/>
      <c r="AJE155" s="14"/>
      <c r="AJF155" s="14"/>
      <c r="AJG155" s="14"/>
      <c r="AJH155" s="14"/>
      <c r="AJI155" s="14"/>
      <c r="AJJ155" s="14"/>
      <c r="AJK155" s="14"/>
      <c r="AJL155" s="14"/>
      <c r="AJM155" s="14"/>
      <c r="AJN155" s="14"/>
      <c r="AJO155" s="14"/>
      <c r="AJP155" s="14"/>
      <c r="AJQ155" s="14"/>
      <c r="AJR155" s="14"/>
      <c r="AJS155" s="14"/>
      <c r="AJT155" s="14"/>
      <c r="AJU155" s="14"/>
      <c r="AJV155" s="14"/>
      <c r="AJW155" s="14"/>
      <c r="AJX155" s="14"/>
      <c r="AJY155" s="14"/>
      <c r="AJZ155" s="14"/>
      <c r="AKA155" s="14"/>
      <c r="AKB155" s="14"/>
      <c r="AKC155" s="14"/>
      <c r="AKD155" s="14"/>
      <c r="AKE155" s="14"/>
      <c r="AKF155" s="14"/>
      <c r="AKG155" s="14"/>
      <c r="AKH155" s="14"/>
      <c r="AKI155" s="14"/>
      <c r="AKJ155" s="14"/>
      <c r="AKK155" s="14"/>
      <c r="AKL155" s="14"/>
      <c r="AKM155" s="14"/>
      <c r="AKN155" s="14"/>
      <c r="AKO155" s="14"/>
      <c r="AKP155" s="14"/>
      <c r="AKQ155" s="14"/>
      <c r="AKR155" s="14"/>
      <c r="AKS155" s="14"/>
      <c r="AKT155" s="14"/>
      <c r="AKU155" s="14"/>
      <c r="AKV155" s="14"/>
      <c r="AKW155" s="14"/>
      <c r="AKX155" s="14"/>
      <c r="AKY155" s="14"/>
      <c r="AKZ155" s="14"/>
      <c r="ALA155" s="14"/>
      <c r="ALB155" s="14"/>
      <c r="ALC155" s="14"/>
      <c r="ALD155" s="14"/>
      <c r="ALE155" s="14"/>
      <c r="ALF155" s="14"/>
      <c r="ALG155" s="14"/>
      <c r="ALH155" s="14"/>
      <c r="ALI155" s="14"/>
      <c r="ALJ155" s="14"/>
      <c r="ALK155" s="14"/>
      <c r="ALL155" s="14"/>
      <c r="ALM155" s="14"/>
      <c r="ALN155" s="14"/>
      <c r="ALO155" s="14"/>
      <c r="ALP155" s="14"/>
      <c r="ALQ155" s="14"/>
      <c r="ALR155" s="14"/>
      <c r="ALS155" s="14"/>
      <c r="ALT155" s="14"/>
      <c r="ALU155" s="14"/>
      <c r="ALV155" s="14"/>
      <c r="ALW155" s="14"/>
      <c r="ALX155" s="14"/>
      <c r="ALY155" s="14"/>
      <c r="ALZ155" s="14"/>
      <c r="AMA155" s="14"/>
      <c r="AMB155" s="14"/>
      <c r="AMC155" s="14"/>
      <c r="AMD155" s="14"/>
      <c r="AME155" s="14"/>
      <c r="AMF155" s="14"/>
      <c r="AMG155" s="14"/>
      <c r="AMH155" s="14"/>
      <c r="AMI155" s="14"/>
      <c r="AMJ155" s="14"/>
      <c r="AMK155" s="14"/>
      <c r="AML155" s="14"/>
      <c r="AMM155" s="14"/>
      <c r="AMN155" s="14"/>
      <c r="AMO155" s="14"/>
      <c r="AMP155" s="14"/>
      <c r="AMQ155" s="14"/>
      <c r="AMR155" s="14"/>
      <c r="AMS155" s="14"/>
      <c r="AMT155" s="14"/>
      <c r="AMU155" s="14"/>
      <c r="AMV155" s="14"/>
      <c r="AMW155" s="14"/>
      <c r="AMX155" s="14"/>
      <c r="AMY155" s="14"/>
      <c r="AMZ155" s="14"/>
      <c r="ANA155" s="14"/>
      <c r="ANB155" s="14"/>
      <c r="ANC155" s="14"/>
      <c r="AND155" s="14"/>
      <c r="ANE155" s="14"/>
      <c r="ANF155" s="14"/>
      <c r="ANG155" s="14"/>
      <c r="ANH155" s="14"/>
      <c r="ANI155" s="14"/>
      <c r="ANJ155" s="14"/>
      <c r="ANK155" s="14"/>
      <c r="ANL155" s="14"/>
      <c r="ANM155" s="14"/>
      <c r="ANN155" s="14"/>
      <c r="ANO155" s="14"/>
      <c r="ANP155" s="14"/>
      <c r="ANQ155" s="14"/>
      <c r="ANR155" s="14"/>
      <c r="ANS155" s="14"/>
      <c r="ANT155" s="14"/>
      <c r="ANU155" s="14"/>
      <c r="ANV155" s="14"/>
      <c r="ANW155" s="14"/>
      <c r="ANX155" s="14"/>
      <c r="ANY155" s="14"/>
      <c r="ANZ155" s="14"/>
      <c r="AOA155" s="14"/>
      <c r="AOB155" s="14"/>
      <c r="AOC155" s="14"/>
      <c r="AOD155" s="14"/>
      <c r="AOE155" s="14"/>
      <c r="AOF155" s="14"/>
      <c r="AOG155" s="14"/>
      <c r="AOH155" s="14"/>
      <c r="AOI155" s="14"/>
      <c r="AOJ155" s="14"/>
      <c r="AOK155" s="14"/>
      <c r="AOL155" s="14"/>
      <c r="AOM155" s="14"/>
      <c r="AON155" s="14"/>
      <c r="AOO155" s="14"/>
      <c r="AOP155" s="14"/>
      <c r="AOQ155" s="14"/>
      <c r="AOR155" s="14"/>
      <c r="AOS155" s="14"/>
      <c r="AOT155" s="14"/>
      <c r="AOU155" s="14"/>
      <c r="AOV155" s="14"/>
      <c r="AOW155" s="14"/>
      <c r="AOX155" s="14"/>
      <c r="AOY155" s="14"/>
      <c r="AOZ155" s="14"/>
      <c r="APA155" s="14"/>
      <c r="APB155" s="14"/>
      <c r="APC155" s="14"/>
      <c r="APD155" s="14"/>
      <c r="APE155" s="14"/>
      <c r="APF155" s="14"/>
      <c r="APG155" s="14"/>
      <c r="APH155" s="14"/>
      <c r="API155" s="14"/>
      <c r="APJ155" s="14"/>
      <c r="APK155" s="14"/>
      <c r="APL155" s="14"/>
      <c r="APM155" s="14"/>
      <c r="APN155" s="14"/>
      <c r="APO155" s="14"/>
      <c r="APP155" s="14"/>
      <c r="APQ155" s="14"/>
      <c r="APR155" s="14"/>
      <c r="APS155" s="14"/>
      <c r="APT155" s="14"/>
      <c r="APU155" s="14"/>
      <c r="APV155" s="14"/>
      <c r="APW155" s="14"/>
      <c r="APX155" s="14"/>
      <c r="APY155" s="14"/>
      <c r="APZ155" s="14"/>
      <c r="AQA155" s="14"/>
      <c r="AQB155" s="14"/>
      <c r="AQC155" s="14"/>
      <c r="AQD155" s="14"/>
      <c r="AQE155" s="14"/>
      <c r="AQF155" s="14"/>
      <c r="AQG155" s="14"/>
      <c r="AQH155" s="14"/>
      <c r="AQI155" s="14"/>
      <c r="AQJ155" s="14"/>
      <c r="AQK155" s="14"/>
      <c r="AQL155" s="14"/>
      <c r="AQM155" s="14"/>
      <c r="AQN155" s="14"/>
      <c r="AQO155" s="14"/>
      <c r="AQP155" s="14"/>
      <c r="AQQ155" s="14"/>
      <c r="AQR155" s="14"/>
      <c r="AQS155" s="14"/>
      <c r="AQT155" s="14"/>
      <c r="AQU155" s="14"/>
      <c r="AQV155" s="14"/>
      <c r="AQW155" s="14"/>
      <c r="AQX155" s="14"/>
      <c r="AQY155" s="14"/>
      <c r="AQZ155" s="14"/>
      <c r="ARA155" s="14"/>
      <c r="ARB155" s="14"/>
      <c r="ARC155" s="14"/>
      <c r="ARD155" s="14"/>
      <c r="ARE155" s="14"/>
      <c r="ARF155" s="14"/>
      <c r="ARG155" s="14"/>
      <c r="ARH155" s="14"/>
      <c r="ARI155" s="14"/>
      <c r="ARJ155" s="14"/>
      <c r="ARK155" s="14"/>
      <c r="ARL155" s="14"/>
      <c r="ARM155" s="14"/>
      <c r="ARN155" s="14"/>
      <c r="ARO155" s="14"/>
      <c r="ARP155" s="14"/>
      <c r="ARQ155" s="14"/>
      <c r="ARR155" s="14"/>
      <c r="ARS155" s="14"/>
      <c r="ART155" s="14"/>
      <c r="ARU155" s="14"/>
      <c r="ARV155" s="14"/>
      <c r="ARW155" s="14"/>
      <c r="ARX155" s="14"/>
      <c r="ARY155" s="14"/>
      <c r="ARZ155" s="14"/>
      <c r="ASA155" s="14"/>
      <c r="ASB155" s="14"/>
      <c r="ASC155" s="14"/>
      <c r="ASD155" s="14"/>
      <c r="ASE155" s="14"/>
      <c r="ASF155" s="14"/>
      <c r="ASG155" s="14"/>
      <c r="ASH155" s="14"/>
      <c r="ASI155" s="14"/>
      <c r="ASJ155" s="14"/>
      <c r="ASK155" s="14"/>
      <c r="ASL155" s="14"/>
      <c r="ASM155" s="14"/>
      <c r="ASN155" s="14"/>
      <c r="ASO155" s="14"/>
      <c r="ASP155" s="14"/>
      <c r="ASQ155" s="14"/>
      <c r="ASR155" s="14"/>
      <c r="ASS155" s="14"/>
      <c r="AST155" s="14"/>
      <c r="ASU155" s="14"/>
      <c r="ASV155" s="14"/>
      <c r="ASW155" s="14"/>
      <c r="ASX155" s="14"/>
      <c r="ASY155" s="14"/>
      <c r="ASZ155" s="14"/>
      <c r="ATA155" s="14"/>
      <c r="ATB155" s="14"/>
      <c r="ATC155" s="14"/>
      <c r="ATD155" s="14"/>
      <c r="ATE155" s="14"/>
      <c r="ATF155" s="14"/>
      <c r="ATG155" s="14"/>
      <c r="ATH155" s="14"/>
      <c r="ATI155" s="14"/>
      <c r="ATJ155" s="14"/>
      <c r="ATK155" s="14"/>
      <c r="ATL155" s="14"/>
      <c r="ATM155" s="14"/>
      <c r="ATN155" s="14"/>
      <c r="ATO155" s="14"/>
      <c r="ATP155" s="14"/>
      <c r="ATQ155" s="14"/>
      <c r="ATR155" s="14"/>
      <c r="ATS155" s="14"/>
      <c r="ATT155" s="14"/>
      <c r="ATU155" s="14"/>
      <c r="ATV155" s="14"/>
      <c r="ATW155" s="14"/>
      <c r="ATX155" s="14"/>
      <c r="ATY155" s="14"/>
      <c r="ATZ155" s="14"/>
      <c r="AUA155" s="14"/>
      <c r="AUB155" s="14"/>
      <c r="AUC155" s="14"/>
      <c r="AUD155" s="14"/>
      <c r="AUE155" s="14"/>
      <c r="AUF155" s="14"/>
      <c r="AUG155" s="14"/>
      <c r="AUH155" s="14"/>
      <c r="AUI155" s="14"/>
      <c r="AUJ155" s="14"/>
      <c r="AUK155" s="14"/>
      <c r="AUL155" s="14"/>
      <c r="AUM155" s="14"/>
      <c r="AUN155" s="14"/>
      <c r="AUO155" s="14"/>
      <c r="AUP155" s="14"/>
      <c r="AUQ155" s="14"/>
      <c r="AUR155" s="14"/>
      <c r="AUS155" s="14"/>
      <c r="AUT155" s="14"/>
      <c r="AUU155" s="14"/>
      <c r="AUV155" s="14"/>
      <c r="AUW155" s="14"/>
      <c r="AUX155" s="14"/>
      <c r="AUY155" s="14"/>
      <c r="AUZ155" s="14"/>
      <c r="AVA155" s="14"/>
      <c r="AVB155" s="14"/>
      <c r="AVC155" s="14"/>
      <c r="AVD155" s="14"/>
      <c r="AVE155" s="14"/>
      <c r="AVF155" s="14"/>
      <c r="AVG155" s="14"/>
      <c r="AVH155" s="14"/>
      <c r="AVI155" s="14"/>
      <c r="AVJ155" s="14"/>
      <c r="AVK155" s="14"/>
      <c r="AVL155" s="14"/>
      <c r="AVM155" s="14"/>
      <c r="AVN155" s="14"/>
      <c r="AVO155" s="14"/>
      <c r="AVP155" s="14"/>
      <c r="AVQ155" s="14"/>
      <c r="AVR155" s="14"/>
      <c r="AVS155" s="14"/>
      <c r="AVT155" s="14"/>
      <c r="AVU155" s="14"/>
      <c r="AVV155" s="14"/>
      <c r="AVW155" s="14"/>
      <c r="AVX155" s="14"/>
      <c r="AVY155" s="14"/>
      <c r="AVZ155" s="14"/>
      <c r="AWA155" s="14"/>
      <c r="AWB155" s="14"/>
      <c r="AWC155" s="14"/>
      <c r="AWD155" s="14"/>
      <c r="AWE155" s="14"/>
      <c r="AWF155" s="14"/>
      <c r="AWG155" s="14"/>
      <c r="AWH155" s="14"/>
      <c r="AWI155" s="14"/>
      <c r="AWJ155" s="14"/>
      <c r="AWK155" s="14"/>
      <c r="AWL155" s="14"/>
      <c r="AWM155" s="14"/>
      <c r="AWN155" s="14"/>
      <c r="AWO155" s="14"/>
      <c r="AWP155" s="14"/>
      <c r="AWQ155" s="14"/>
      <c r="AWR155" s="14"/>
      <c r="AWS155" s="14"/>
      <c r="AWT155" s="14"/>
      <c r="AWU155" s="14"/>
      <c r="AWV155" s="14"/>
      <c r="AWW155" s="14"/>
      <c r="AWX155" s="14"/>
      <c r="AWY155" s="14"/>
      <c r="AWZ155" s="14"/>
      <c r="AXA155" s="14"/>
      <c r="AXB155" s="14"/>
      <c r="AXC155" s="14"/>
      <c r="AXD155" s="14"/>
      <c r="AXE155" s="14"/>
      <c r="AXF155" s="14"/>
      <c r="AXG155" s="14"/>
      <c r="AXH155" s="14"/>
      <c r="AXI155" s="14"/>
      <c r="AXJ155" s="14"/>
      <c r="AXK155" s="14"/>
      <c r="AXL155" s="14"/>
      <c r="AXM155" s="14"/>
      <c r="AXN155" s="14"/>
      <c r="AXO155" s="14"/>
      <c r="AXP155" s="14"/>
      <c r="AXQ155" s="14"/>
      <c r="AXR155" s="14"/>
      <c r="AXS155" s="14"/>
      <c r="AXT155" s="14"/>
      <c r="AXU155" s="14"/>
      <c r="AXV155" s="14"/>
      <c r="AXW155" s="14"/>
      <c r="AXX155" s="14"/>
      <c r="AXY155" s="14"/>
      <c r="AXZ155" s="14"/>
      <c r="AYA155" s="14"/>
      <c r="AYB155" s="14"/>
      <c r="AYC155" s="14"/>
      <c r="AYD155" s="14"/>
      <c r="AYE155" s="14"/>
      <c r="AYF155" s="14"/>
      <c r="AYG155" s="14"/>
      <c r="AYH155" s="14"/>
      <c r="AYI155" s="14"/>
      <c r="AYJ155" s="14"/>
      <c r="AYK155" s="14"/>
      <c r="AYL155" s="14"/>
      <c r="AYM155" s="14"/>
      <c r="AYN155" s="14"/>
      <c r="AYO155" s="14"/>
      <c r="AYP155" s="14"/>
      <c r="AYQ155" s="14"/>
      <c r="AYR155" s="14"/>
      <c r="AYS155" s="14"/>
      <c r="AYT155" s="14"/>
      <c r="AYU155" s="14"/>
      <c r="AYV155" s="14"/>
      <c r="AYW155" s="14"/>
      <c r="AYX155" s="14"/>
      <c r="AYY155" s="14"/>
      <c r="AYZ155" s="14"/>
      <c r="AZA155" s="14"/>
      <c r="AZB155" s="14"/>
      <c r="AZC155" s="14"/>
      <c r="AZD155" s="14"/>
      <c r="AZE155" s="14"/>
      <c r="AZF155" s="14"/>
      <c r="AZG155" s="14"/>
      <c r="AZH155" s="14"/>
      <c r="AZI155" s="14"/>
      <c r="AZJ155" s="14"/>
      <c r="AZK155" s="14"/>
      <c r="AZL155" s="14"/>
      <c r="AZM155" s="14"/>
      <c r="AZN155" s="14"/>
      <c r="AZO155" s="14"/>
      <c r="AZP155" s="14"/>
      <c r="AZQ155" s="14"/>
      <c r="AZR155" s="14"/>
      <c r="AZS155" s="14"/>
      <c r="AZT155" s="14"/>
      <c r="AZU155" s="14"/>
      <c r="AZV155" s="14"/>
      <c r="AZW155" s="14"/>
      <c r="AZX155" s="14"/>
      <c r="AZY155" s="14"/>
      <c r="AZZ155" s="14"/>
      <c r="BAA155" s="14"/>
      <c r="BAB155" s="14"/>
      <c r="BAC155" s="14"/>
      <c r="BAD155" s="14"/>
      <c r="BAE155" s="14"/>
      <c r="BAF155" s="14"/>
      <c r="BAG155" s="14"/>
      <c r="BAH155" s="14"/>
      <c r="BAI155" s="14"/>
      <c r="BAJ155" s="14"/>
      <c r="BAK155" s="14"/>
      <c r="BAL155" s="14"/>
      <c r="BAM155" s="14"/>
      <c r="BAN155" s="14"/>
      <c r="BAO155" s="14"/>
      <c r="BAP155" s="14"/>
      <c r="BAQ155" s="14"/>
      <c r="BAR155" s="14"/>
      <c r="BAS155" s="14"/>
      <c r="BAT155" s="14"/>
      <c r="BAU155" s="14"/>
      <c r="BAV155" s="14"/>
      <c r="BAW155" s="14"/>
      <c r="BAX155" s="14"/>
      <c r="BAY155" s="14"/>
      <c r="BAZ155" s="14"/>
      <c r="BBA155" s="14"/>
      <c r="BBB155" s="14"/>
      <c r="BBC155" s="14"/>
      <c r="BBD155" s="14"/>
      <c r="BBE155" s="14"/>
      <c r="BBF155" s="14"/>
      <c r="BBG155" s="14"/>
      <c r="BBH155" s="14"/>
      <c r="BBI155" s="14"/>
      <c r="BBJ155" s="14"/>
      <c r="BBK155" s="14"/>
      <c r="BBL155" s="14"/>
      <c r="BBM155" s="14"/>
      <c r="BBN155" s="14"/>
      <c r="BBO155" s="14"/>
      <c r="BBP155" s="14"/>
      <c r="BBQ155" s="14"/>
      <c r="BBR155" s="14"/>
      <c r="BBS155" s="14"/>
      <c r="BBT155" s="14"/>
      <c r="BBU155" s="14"/>
      <c r="BBV155" s="14"/>
      <c r="BBW155" s="14"/>
      <c r="BBX155" s="14"/>
      <c r="BBY155" s="14"/>
      <c r="BBZ155" s="14"/>
      <c r="BCA155" s="14"/>
      <c r="BCB155" s="14"/>
      <c r="BCC155" s="14"/>
      <c r="BCD155" s="14"/>
      <c r="BCE155" s="14"/>
      <c r="BCF155" s="14"/>
      <c r="BCG155" s="14"/>
      <c r="BCH155" s="14"/>
      <c r="BCI155" s="14"/>
      <c r="BCJ155" s="14"/>
      <c r="BCK155" s="14"/>
      <c r="BCL155" s="14"/>
      <c r="BCM155" s="14"/>
      <c r="BCN155" s="14"/>
      <c r="BCO155" s="14"/>
      <c r="BCP155" s="14"/>
      <c r="BCQ155" s="14"/>
      <c r="BCR155" s="14"/>
      <c r="BCS155" s="14"/>
      <c r="BCT155" s="14"/>
      <c r="BCU155" s="14"/>
      <c r="BCV155" s="14"/>
      <c r="BCW155" s="14"/>
      <c r="BCX155" s="14"/>
      <c r="BCY155" s="14"/>
      <c r="BCZ155" s="14"/>
      <c r="BDA155" s="14"/>
      <c r="BDB155" s="14"/>
      <c r="BDC155" s="14"/>
      <c r="BDD155" s="14"/>
      <c r="BDE155" s="14"/>
      <c r="BDF155" s="14"/>
      <c r="BDG155" s="14"/>
      <c r="BDH155" s="14"/>
      <c r="BDI155" s="14"/>
      <c r="BDJ155" s="14"/>
      <c r="BDK155" s="14"/>
      <c r="BDL155" s="14"/>
      <c r="BDM155" s="14"/>
      <c r="BDN155" s="14"/>
      <c r="BDO155" s="14"/>
      <c r="BDP155" s="14"/>
      <c r="BDQ155" s="14"/>
      <c r="BDR155" s="14"/>
      <c r="BDS155" s="14"/>
      <c r="BDT155" s="14"/>
      <c r="BDU155" s="14"/>
      <c r="BDV155" s="14"/>
      <c r="BDW155" s="14"/>
      <c r="BDX155" s="14"/>
      <c r="BDY155" s="14"/>
      <c r="BDZ155" s="14"/>
      <c r="BEA155" s="14"/>
      <c r="BEB155" s="14"/>
      <c r="BEC155" s="14"/>
      <c r="BED155" s="14"/>
      <c r="BEE155" s="14"/>
      <c r="BEF155" s="14"/>
      <c r="BEG155" s="14"/>
      <c r="BEH155" s="14"/>
      <c r="BEI155" s="14"/>
      <c r="BEJ155" s="14"/>
      <c r="BEK155" s="14"/>
      <c r="BEL155" s="14"/>
      <c r="BEM155" s="14"/>
      <c r="BEN155" s="14"/>
      <c r="BEO155" s="14"/>
      <c r="BEP155" s="14"/>
      <c r="BEQ155" s="14"/>
      <c r="BER155" s="14"/>
      <c r="BES155" s="14"/>
      <c r="BET155" s="14"/>
      <c r="BEU155" s="14"/>
      <c r="BEV155" s="14"/>
      <c r="BEW155" s="14"/>
      <c r="BEX155" s="14"/>
      <c r="BEY155" s="14"/>
      <c r="BEZ155" s="14"/>
      <c r="BFA155" s="14"/>
      <c r="BFB155" s="14"/>
      <c r="BFC155" s="14"/>
      <c r="BFD155" s="14"/>
      <c r="BFE155" s="14"/>
      <c r="BFF155" s="14"/>
      <c r="BFG155" s="14"/>
      <c r="BFH155" s="14"/>
      <c r="BFI155" s="14"/>
      <c r="BFJ155" s="14"/>
      <c r="BFK155" s="14"/>
      <c r="BFL155" s="14"/>
      <c r="BFM155" s="14"/>
      <c r="BFN155" s="14"/>
      <c r="BFO155" s="14"/>
      <c r="BFP155" s="14"/>
      <c r="BFQ155" s="14"/>
      <c r="BFR155" s="14"/>
      <c r="BFS155" s="14"/>
      <c r="BFT155" s="14"/>
      <c r="BFU155" s="14"/>
      <c r="BFV155" s="14"/>
      <c r="BFW155" s="14"/>
      <c r="BFX155" s="14"/>
      <c r="BFY155" s="14"/>
      <c r="BFZ155" s="14"/>
      <c r="BGA155" s="14"/>
      <c r="BGB155" s="14"/>
      <c r="BGC155" s="14"/>
      <c r="BGD155" s="14"/>
      <c r="BGE155" s="14"/>
      <c r="BGF155" s="14"/>
      <c r="BGG155" s="14"/>
      <c r="BGH155" s="14"/>
      <c r="BGI155" s="14"/>
      <c r="BGJ155" s="14"/>
      <c r="BGK155" s="14"/>
      <c r="BGL155" s="14"/>
      <c r="BGM155" s="14"/>
      <c r="BGN155" s="14"/>
      <c r="BGO155" s="14"/>
      <c r="BGP155" s="14"/>
      <c r="BGQ155" s="14"/>
      <c r="BGR155" s="14"/>
      <c r="BGS155" s="14"/>
      <c r="BGT155" s="14"/>
      <c r="BGU155" s="14"/>
      <c r="BGV155" s="14"/>
      <c r="BGW155" s="14"/>
      <c r="BGX155" s="14"/>
      <c r="BGY155" s="14"/>
      <c r="BGZ155" s="14"/>
      <c r="BHA155" s="14"/>
      <c r="BHB155" s="14"/>
      <c r="BHC155" s="14"/>
      <c r="BHD155" s="14"/>
      <c r="BHE155" s="14"/>
      <c r="BHF155" s="14"/>
      <c r="BHG155" s="14"/>
      <c r="BHH155" s="14"/>
      <c r="BHI155" s="14"/>
      <c r="BHJ155" s="14"/>
      <c r="BHK155" s="14"/>
      <c r="BHL155" s="14"/>
      <c r="BHM155" s="14"/>
      <c r="BHN155" s="14"/>
      <c r="BHO155" s="14"/>
      <c r="BHP155" s="14"/>
      <c r="BHQ155" s="14"/>
      <c r="BHR155" s="14"/>
      <c r="BHS155" s="14"/>
      <c r="BHT155" s="14"/>
      <c r="BHU155" s="14"/>
      <c r="BHV155" s="14"/>
      <c r="BHW155" s="14"/>
      <c r="BHX155" s="14"/>
      <c r="BHY155" s="14"/>
      <c r="BHZ155" s="14"/>
      <c r="BIA155" s="14"/>
      <c r="BIB155" s="14"/>
      <c r="BIC155" s="14"/>
      <c r="BID155" s="14"/>
      <c r="BIE155" s="14"/>
      <c r="BIF155" s="14"/>
      <c r="BIG155" s="14"/>
      <c r="BIH155" s="14"/>
      <c r="BII155" s="14"/>
      <c r="BIJ155" s="14"/>
      <c r="BIK155" s="14"/>
      <c r="BIL155" s="14"/>
      <c r="BIM155" s="14"/>
      <c r="BIN155" s="14"/>
      <c r="BIO155" s="14"/>
      <c r="BIP155" s="14"/>
      <c r="BIQ155" s="14"/>
      <c r="BIR155" s="14"/>
      <c r="BIS155" s="14"/>
      <c r="BIT155" s="14"/>
      <c r="BIU155" s="14"/>
      <c r="BIV155" s="14"/>
      <c r="BIW155" s="14"/>
      <c r="BIX155" s="14"/>
      <c r="BIY155" s="14"/>
      <c r="BIZ155" s="14"/>
      <c r="BJA155" s="14"/>
      <c r="BJB155" s="14"/>
      <c r="BJC155" s="14"/>
      <c r="BJD155" s="14"/>
      <c r="BJE155" s="14"/>
      <c r="BJF155" s="14"/>
      <c r="BJG155" s="14"/>
      <c r="BJH155" s="14"/>
      <c r="BJI155" s="14"/>
      <c r="BJJ155" s="14"/>
      <c r="BJK155" s="14"/>
      <c r="BJL155" s="14"/>
      <c r="BJM155" s="14"/>
      <c r="BJN155" s="14"/>
      <c r="BJO155" s="14"/>
      <c r="BJP155" s="14"/>
      <c r="BJQ155" s="14"/>
      <c r="BJR155" s="14"/>
      <c r="BJS155" s="14"/>
      <c r="BJT155" s="14"/>
      <c r="BJU155" s="14"/>
      <c r="BJV155" s="14"/>
      <c r="BJW155" s="14"/>
      <c r="BJX155" s="14"/>
      <c r="BJY155" s="14"/>
      <c r="BJZ155" s="14"/>
      <c r="BKA155" s="14"/>
      <c r="BKB155" s="14"/>
      <c r="BKC155" s="14"/>
      <c r="BKD155" s="14"/>
      <c r="BKE155" s="14"/>
      <c r="BKF155" s="14"/>
      <c r="BKG155" s="14"/>
      <c r="BKH155" s="14"/>
      <c r="BKI155" s="14"/>
      <c r="BKJ155" s="14"/>
      <c r="BKK155" s="14"/>
      <c r="BKL155" s="14"/>
      <c r="BKM155" s="14"/>
      <c r="BKN155" s="14"/>
      <c r="BKO155" s="14"/>
      <c r="BKP155" s="14"/>
      <c r="BKQ155" s="14"/>
      <c r="BKR155" s="14"/>
      <c r="BKS155" s="14"/>
      <c r="BKT155" s="14"/>
      <c r="BKU155" s="14"/>
      <c r="BKV155" s="14"/>
      <c r="BKW155" s="14"/>
      <c r="BKX155" s="14"/>
      <c r="BKY155" s="14"/>
      <c r="BKZ155" s="14"/>
      <c r="BLA155" s="14"/>
      <c r="BLB155" s="14"/>
      <c r="BLC155" s="14"/>
      <c r="BLD155" s="14"/>
      <c r="BLE155" s="14"/>
      <c r="BLF155" s="14"/>
      <c r="BLG155" s="14"/>
      <c r="BLH155" s="14"/>
      <c r="BLI155" s="14"/>
      <c r="BLJ155" s="14"/>
      <c r="BLK155" s="14"/>
      <c r="BLL155" s="14"/>
      <c r="BLM155" s="14"/>
      <c r="BLN155" s="14"/>
      <c r="BLO155" s="14"/>
      <c r="BLP155" s="14"/>
      <c r="BLQ155" s="14"/>
      <c r="BLR155" s="14"/>
      <c r="BLS155" s="14"/>
      <c r="BLT155" s="14"/>
      <c r="BLU155" s="14"/>
      <c r="BLV155" s="14"/>
      <c r="BLW155" s="14"/>
      <c r="BLX155" s="14"/>
      <c r="BLY155" s="14"/>
      <c r="BLZ155" s="14"/>
      <c r="BMA155" s="14"/>
      <c r="BMB155" s="14"/>
      <c r="BMC155" s="14"/>
      <c r="BMD155" s="14"/>
      <c r="BME155" s="14"/>
      <c r="BMF155" s="14"/>
      <c r="BMG155" s="14"/>
      <c r="BMH155" s="14"/>
      <c r="BMI155" s="14"/>
      <c r="BMJ155" s="14"/>
      <c r="BMK155" s="14"/>
      <c r="BML155" s="14"/>
      <c r="BMM155" s="14"/>
      <c r="BMN155" s="14"/>
      <c r="BMO155" s="14"/>
      <c r="BMP155" s="14"/>
      <c r="BMQ155" s="14"/>
      <c r="BMR155" s="14"/>
      <c r="BMS155" s="14"/>
      <c r="BMT155" s="14"/>
      <c r="BMU155" s="14"/>
      <c r="BMV155" s="14"/>
      <c r="BMW155" s="14"/>
      <c r="BMX155" s="14"/>
      <c r="BMY155" s="14"/>
      <c r="BMZ155" s="14"/>
      <c r="BNA155" s="14"/>
      <c r="BNB155" s="14"/>
      <c r="BNC155" s="14"/>
      <c r="BND155" s="14"/>
      <c r="BNE155" s="14"/>
      <c r="BNF155" s="14"/>
      <c r="BNG155" s="14"/>
      <c r="BNH155" s="14"/>
      <c r="BNI155" s="14"/>
      <c r="BNJ155" s="14"/>
      <c r="BNK155" s="14"/>
      <c r="BNL155" s="14"/>
      <c r="BNM155" s="14"/>
      <c r="BNN155" s="14"/>
      <c r="BNO155" s="14"/>
      <c r="BNP155" s="14"/>
      <c r="BNQ155" s="14"/>
      <c r="BNR155" s="14"/>
      <c r="BNS155" s="14"/>
      <c r="BNT155" s="14"/>
      <c r="BNU155" s="14"/>
      <c r="BNV155" s="14"/>
      <c r="BNW155" s="14"/>
      <c r="BNX155" s="14"/>
      <c r="BNY155" s="14"/>
      <c r="BNZ155" s="14"/>
      <c r="BOA155" s="14"/>
      <c r="BOB155" s="14"/>
      <c r="BOC155" s="14"/>
      <c r="BOD155" s="14"/>
      <c r="BOE155" s="14"/>
      <c r="BOF155" s="14"/>
      <c r="BOG155" s="14"/>
      <c r="BOH155" s="14"/>
      <c r="BOI155" s="14"/>
      <c r="BOJ155" s="14"/>
      <c r="BOK155" s="14"/>
      <c r="BOL155" s="14"/>
      <c r="BOM155" s="14"/>
      <c r="BON155" s="14"/>
      <c r="BOO155" s="14"/>
      <c r="BOP155" s="14"/>
      <c r="BOQ155" s="14"/>
      <c r="BOR155" s="14"/>
      <c r="BOS155" s="14"/>
      <c r="BOT155" s="14"/>
      <c r="BOU155" s="14"/>
      <c r="BOV155" s="14"/>
      <c r="BOW155" s="14"/>
      <c r="BOX155" s="14"/>
      <c r="BOY155" s="14"/>
      <c r="BOZ155" s="14"/>
      <c r="BPA155" s="14"/>
      <c r="BPB155" s="14"/>
      <c r="BPC155" s="14"/>
      <c r="BPD155" s="14"/>
      <c r="BPE155" s="14"/>
      <c r="BPF155" s="14"/>
      <c r="BPG155" s="14"/>
      <c r="BPH155" s="14"/>
      <c r="BPI155" s="14"/>
      <c r="BPJ155" s="14"/>
      <c r="BPK155" s="14"/>
      <c r="BPL155" s="14"/>
      <c r="BPM155" s="14"/>
      <c r="BPN155" s="14"/>
      <c r="BPO155" s="14"/>
      <c r="BPP155" s="14"/>
      <c r="BPQ155" s="14"/>
      <c r="BPR155" s="14"/>
      <c r="BPS155" s="14"/>
      <c r="BPT155" s="14"/>
      <c r="BPU155" s="14"/>
      <c r="BPV155" s="14"/>
      <c r="BPW155" s="14"/>
      <c r="BPX155" s="14"/>
      <c r="BPY155" s="14"/>
      <c r="BPZ155" s="14"/>
      <c r="BQA155" s="14"/>
      <c r="BQB155" s="14"/>
      <c r="BQC155" s="14"/>
      <c r="BQD155" s="14"/>
      <c r="BQE155" s="14"/>
      <c r="BQF155" s="14"/>
      <c r="BQG155" s="14"/>
      <c r="BQH155" s="14"/>
      <c r="BQI155" s="14"/>
      <c r="BQJ155" s="14"/>
      <c r="BQK155" s="14"/>
      <c r="BQL155" s="14"/>
      <c r="BQM155" s="14"/>
      <c r="BQN155" s="14"/>
      <c r="BQO155" s="14"/>
      <c r="BQP155" s="14"/>
      <c r="BQQ155" s="14"/>
      <c r="BQR155" s="14"/>
      <c r="BQS155" s="14"/>
      <c r="BQT155" s="14"/>
      <c r="BQU155" s="14"/>
      <c r="BQV155" s="14"/>
      <c r="BQW155" s="14"/>
      <c r="BQX155" s="14"/>
      <c r="BQY155" s="14"/>
      <c r="BQZ155" s="14"/>
      <c r="BRA155" s="14"/>
      <c r="BRB155" s="14"/>
      <c r="BRC155" s="14"/>
      <c r="BRD155" s="14"/>
      <c r="BRE155" s="14"/>
      <c r="BRF155" s="14"/>
      <c r="BRG155" s="14"/>
      <c r="BRH155" s="14"/>
      <c r="BRI155" s="14"/>
      <c r="BRJ155" s="14"/>
      <c r="BRK155" s="14"/>
      <c r="BRL155" s="14"/>
      <c r="BRM155" s="14"/>
      <c r="BRN155" s="14"/>
      <c r="BRO155" s="14"/>
      <c r="BRP155" s="14"/>
      <c r="BRQ155" s="14"/>
      <c r="BRR155" s="14"/>
      <c r="BRS155" s="14"/>
      <c r="BRT155" s="14"/>
      <c r="BRU155" s="14"/>
      <c r="BRV155" s="14"/>
      <c r="BRW155" s="14"/>
      <c r="BRX155" s="14"/>
      <c r="BRY155" s="14"/>
      <c r="BRZ155" s="14"/>
      <c r="BSA155" s="14"/>
      <c r="BSB155" s="14"/>
      <c r="BSC155" s="14"/>
      <c r="BSD155" s="14"/>
      <c r="BSE155" s="14"/>
      <c r="BSF155" s="14"/>
      <c r="BSG155" s="14"/>
      <c r="BSH155" s="14"/>
      <c r="BSI155" s="14"/>
      <c r="BSJ155" s="14"/>
      <c r="BSK155" s="14"/>
      <c r="BSL155" s="14"/>
      <c r="BSM155" s="14"/>
      <c r="BSN155" s="14"/>
      <c r="BSO155" s="14"/>
      <c r="BSP155" s="14"/>
      <c r="BSQ155" s="14"/>
      <c r="BSR155" s="14"/>
      <c r="BSS155" s="14"/>
      <c r="BST155" s="14"/>
      <c r="BSU155" s="14"/>
      <c r="BSV155" s="14"/>
      <c r="BSW155" s="14"/>
      <c r="BSX155" s="14"/>
      <c r="BSY155" s="14"/>
      <c r="BSZ155" s="14"/>
      <c r="BTA155" s="14"/>
      <c r="BTB155" s="14"/>
      <c r="BTC155" s="14"/>
      <c r="BTD155" s="14"/>
      <c r="BTE155" s="14"/>
      <c r="BTF155" s="14"/>
      <c r="BTG155" s="14"/>
      <c r="BTH155" s="14"/>
      <c r="BTI155" s="14"/>
      <c r="BTJ155" s="14"/>
      <c r="BTK155" s="14"/>
      <c r="BTL155" s="14"/>
      <c r="BTM155" s="14"/>
      <c r="BTN155" s="14"/>
      <c r="BTO155" s="14"/>
      <c r="BTP155" s="14"/>
      <c r="BTQ155" s="14"/>
      <c r="BTR155" s="14"/>
      <c r="BTS155" s="14"/>
      <c r="BTT155" s="14"/>
      <c r="BTU155" s="14"/>
      <c r="BTV155" s="14"/>
      <c r="BTW155" s="14"/>
      <c r="BTX155" s="14"/>
      <c r="BTY155" s="14"/>
      <c r="BTZ155" s="14"/>
      <c r="BUA155" s="14"/>
      <c r="BUB155" s="14"/>
      <c r="BUC155" s="14"/>
      <c r="BUD155" s="14"/>
      <c r="BUE155" s="14"/>
      <c r="BUF155" s="14"/>
      <c r="BUG155" s="14"/>
      <c r="BUH155" s="14"/>
      <c r="BUI155" s="14"/>
      <c r="BUJ155" s="14"/>
      <c r="BUK155" s="14"/>
      <c r="BUL155" s="14"/>
      <c r="BUM155" s="14"/>
      <c r="BUN155" s="14"/>
      <c r="BUO155" s="14"/>
      <c r="BUP155" s="14"/>
      <c r="BUQ155" s="14"/>
      <c r="BUR155" s="14"/>
      <c r="BUS155" s="14"/>
      <c r="BUT155" s="14"/>
      <c r="BUU155" s="14"/>
      <c r="BUV155" s="14"/>
      <c r="BUW155" s="14"/>
      <c r="BUX155" s="14"/>
      <c r="BUY155" s="14"/>
      <c r="BUZ155" s="14"/>
      <c r="BVA155" s="14"/>
      <c r="BVB155" s="14"/>
      <c r="BVC155" s="14"/>
      <c r="BVD155" s="14"/>
      <c r="BVE155" s="14"/>
      <c r="BVF155" s="14"/>
      <c r="BVG155" s="14"/>
      <c r="BVH155" s="14"/>
      <c r="BVI155" s="14"/>
      <c r="BVJ155" s="14"/>
      <c r="BVK155" s="14"/>
      <c r="BVL155" s="14"/>
      <c r="BVM155" s="14"/>
      <c r="BVN155" s="14"/>
      <c r="BVO155" s="14"/>
      <c r="BVP155" s="14"/>
      <c r="BVQ155" s="14"/>
      <c r="BVR155" s="14"/>
      <c r="BVS155" s="14"/>
      <c r="BVT155" s="14"/>
      <c r="BVU155" s="14"/>
      <c r="BVV155" s="14"/>
      <c r="BVW155" s="14"/>
      <c r="BVX155" s="14"/>
      <c r="BVY155" s="14"/>
      <c r="BVZ155" s="14"/>
      <c r="BWA155" s="14"/>
      <c r="BWB155" s="14"/>
      <c r="BWC155" s="14"/>
      <c r="BWD155" s="14"/>
      <c r="BWE155" s="14"/>
      <c r="BWF155" s="14"/>
      <c r="BWG155" s="14"/>
      <c r="BWH155" s="14"/>
      <c r="BWI155" s="14"/>
      <c r="BWJ155" s="14"/>
      <c r="BWK155" s="14"/>
      <c r="BWL155" s="14"/>
      <c r="BWM155" s="14"/>
      <c r="BWN155" s="14"/>
      <c r="BWO155" s="14"/>
      <c r="BWP155" s="14"/>
      <c r="BWQ155" s="14"/>
      <c r="BWR155" s="14"/>
      <c r="BWS155" s="14"/>
      <c r="BWT155" s="14"/>
      <c r="BWU155" s="14"/>
      <c r="BWV155" s="14"/>
      <c r="BWW155" s="14"/>
      <c r="BWX155" s="14"/>
      <c r="BWY155" s="14"/>
      <c r="BWZ155" s="14"/>
      <c r="BXA155" s="14"/>
      <c r="BXB155" s="14"/>
      <c r="BXC155" s="14"/>
      <c r="BXD155" s="14"/>
      <c r="BXE155" s="14"/>
      <c r="BXF155" s="14"/>
      <c r="BXG155" s="14"/>
      <c r="BXH155" s="14"/>
      <c r="BXI155" s="14"/>
      <c r="BXJ155" s="14"/>
      <c r="BXK155" s="14"/>
      <c r="BXL155" s="14"/>
      <c r="BXM155" s="14"/>
      <c r="BXN155" s="14"/>
      <c r="BXO155" s="14"/>
      <c r="BXP155" s="14"/>
      <c r="BXQ155" s="14"/>
      <c r="BXR155" s="14"/>
      <c r="BXS155" s="14"/>
      <c r="BXT155" s="14"/>
      <c r="BXU155" s="14"/>
      <c r="BXV155" s="14"/>
      <c r="BXW155" s="14"/>
      <c r="BXX155" s="14"/>
      <c r="BXY155" s="14"/>
      <c r="BXZ155" s="14"/>
      <c r="BYA155" s="14"/>
      <c r="BYB155" s="14"/>
      <c r="BYC155" s="14"/>
      <c r="BYD155" s="14"/>
      <c r="BYE155" s="14"/>
      <c r="BYF155" s="14"/>
      <c r="BYG155" s="14"/>
      <c r="BYH155" s="14"/>
      <c r="BYI155" s="14"/>
      <c r="BYJ155" s="14"/>
      <c r="BYK155" s="14"/>
      <c r="BYL155" s="14"/>
      <c r="BYM155" s="14"/>
      <c r="BYN155" s="14"/>
      <c r="BYO155" s="14"/>
      <c r="BYP155" s="14"/>
      <c r="BYQ155" s="14"/>
      <c r="BYR155" s="14"/>
      <c r="BYS155" s="14"/>
      <c r="BYT155" s="14"/>
      <c r="BYU155" s="14"/>
      <c r="BYV155" s="14"/>
      <c r="BYW155" s="14"/>
      <c r="BYX155" s="14"/>
      <c r="BYY155" s="14"/>
      <c r="BYZ155" s="14"/>
      <c r="BZA155" s="14"/>
      <c r="BZB155" s="14"/>
      <c r="BZC155" s="14"/>
      <c r="BZD155" s="14"/>
      <c r="BZE155" s="14"/>
      <c r="BZF155" s="14"/>
      <c r="BZG155" s="14"/>
      <c r="BZH155" s="14"/>
      <c r="BZI155" s="14"/>
      <c r="BZJ155" s="14"/>
      <c r="BZK155" s="14"/>
      <c r="BZL155" s="14"/>
      <c r="BZM155" s="14"/>
      <c r="BZN155" s="14"/>
      <c r="BZO155" s="14"/>
      <c r="BZP155" s="14"/>
      <c r="BZQ155" s="14"/>
      <c r="BZR155" s="14"/>
      <c r="BZS155" s="14"/>
      <c r="BZT155" s="14"/>
      <c r="BZU155" s="14"/>
      <c r="BZV155" s="14"/>
      <c r="BZW155" s="14"/>
      <c r="BZX155" s="14"/>
      <c r="BZY155" s="14"/>
      <c r="BZZ155" s="14"/>
      <c r="CAA155" s="14"/>
      <c r="CAB155" s="14"/>
      <c r="CAC155" s="14"/>
      <c r="CAD155" s="14"/>
      <c r="CAE155" s="14"/>
      <c r="CAF155" s="14"/>
      <c r="CAG155" s="14"/>
      <c r="CAH155" s="14"/>
      <c r="CAI155" s="14"/>
      <c r="CAJ155" s="14"/>
      <c r="CAK155" s="14"/>
      <c r="CAL155" s="14"/>
      <c r="CAM155" s="14"/>
      <c r="CAN155" s="14"/>
      <c r="CAO155" s="14"/>
      <c r="CAP155" s="14"/>
      <c r="CAQ155" s="14"/>
      <c r="CAR155" s="14"/>
      <c r="CAS155" s="14"/>
      <c r="CAT155" s="14"/>
      <c r="CAU155" s="14"/>
      <c r="CAV155" s="14"/>
      <c r="CAW155" s="14"/>
      <c r="CAX155" s="14"/>
      <c r="CAY155" s="14"/>
      <c r="CAZ155" s="14"/>
      <c r="CBA155" s="14"/>
      <c r="CBB155" s="14"/>
      <c r="CBC155" s="14"/>
      <c r="CBD155" s="14"/>
      <c r="CBE155" s="14"/>
      <c r="CBF155" s="14"/>
      <c r="CBG155" s="14"/>
      <c r="CBH155" s="14"/>
      <c r="CBI155" s="14"/>
      <c r="CBJ155" s="14"/>
      <c r="CBK155" s="14"/>
      <c r="CBL155" s="14"/>
      <c r="CBM155" s="14"/>
      <c r="CBN155" s="14"/>
      <c r="CBO155" s="14"/>
      <c r="CBP155" s="14"/>
      <c r="CBQ155" s="14"/>
      <c r="CBR155" s="14"/>
      <c r="CBS155" s="14"/>
      <c r="CBT155" s="14"/>
      <c r="CBU155" s="14"/>
      <c r="CBV155" s="14"/>
      <c r="CBW155" s="14"/>
      <c r="CBX155" s="14"/>
      <c r="CBY155" s="14"/>
      <c r="CBZ155" s="14"/>
      <c r="CCA155" s="14"/>
      <c r="CCB155" s="14"/>
      <c r="CCC155" s="14"/>
      <c r="CCD155" s="14"/>
      <c r="CCE155" s="14"/>
      <c r="CCF155" s="14"/>
      <c r="CCG155" s="14"/>
      <c r="CCH155" s="14"/>
      <c r="CCI155" s="14"/>
      <c r="CCJ155" s="14"/>
      <c r="CCK155" s="14"/>
      <c r="CCL155" s="14"/>
      <c r="CCM155" s="14"/>
      <c r="CCN155" s="14"/>
      <c r="CCO155" s="14"/>
      <c r="CCP155" s="14"/>
      <c r="CCQ155" s="14"/>
      <c r="CCR155" s="14"/>
      <c r="CCS155" s="14"/>
      <c r="CCT155" s="14"/>
      <c r="CCU155" s="14"/>
      <c r="CCV155" s="14"/>
      <c r="CCW155" s="14"/>
      <c r="CCX155" s="14"/>
      <c r="CCY155" s="14"/>
      <c r="CCZ155" s="14"/>
      <c r="CDA155" s="14"/>
      <c r="CDB155" s="14"/>
      <c r="CDC155" s="14"/>
      <c r="CDD155" s="14"/>
      <c r="CDE155" s="14"/>
      <c r="CDF155" s="14"/>
      <c r="CDG155" s="14"/>
      <c r="CDH155" s="14"/>
      <c r="CDI155" s="14"/>
      <c r="CDJ155" s="14"/>
      <c r="CDK155" s="14"/>
      <c r="CDL155" s="14"/>
      <c r="CDM155" s="14"/>
      <c r="CDN155" s="14"/>
      <c r="CDO155" s="14"/>
      <c r="CDP155" s="14"/>
      <c r="CDQ155" s="14"/>
      <c r="CDR155" s="14"/>
      <c r="CDS155" s="14"/>
      <c r="CDT155" s="14"/>
      <c r="CDU155" s="14"/>
      <c r="CDV155" s="14"/>
      <c r="CDW155" s="14"/>
      <c r="CDX155" s="14"/>
      <c r="CDY155" s="14"/>
      <c r="CDZ155" s="14"/>
      <c r="CEA155" s="14"/>
      <c r="CEB155" s="14"/>
      <c r="CEC155" s="14"/>
      <c r="CED155" s="14"/>
      <c r="CEE155" s="14"/>
      <c r="CEF155" s="14"/>
      <c r="CEG155" s="14"/>
      <c r="CEH155" s="14"/>
      <c r="CEI155" s="14"/>
      <c r="CEJ155" s="14"/>
      <c r="CEK155" s="14"/>
      <c r="CEL155" s="14"/>
      <c r="CEM155" s="14"/>
      <c r="CEN155" s="14"/>
      <c r="CEO155" s="14"/>
      <c r="CEP155" s="14"/>
      <c r="CEQ155" s="14"/>
      <c r="CER155" s="14"/>
      <c r="CES155" s="14"/>
      <c r="CET155" s="14"/>
      <c r="CEU155" s="14"/>
      <c r="CEV155" s="14"/>
      <c r="CEW155" s="14"/>
      <c r="CEX155" s="14"/>
      <c r="CEY155" s="14"/>
      <c r="CEZ155" s="14"/>
      <c r="CFA155" s="14"/>
      <c r="CFB155" s="14"/>
      <c r="CFC155" s="14"/>
      <c r="CFD155" s="14"/>
      <c r="CFE155" s="14"/>
      <c r="CFF155" s="14"/>
      <c r="CFG155" s="14"/>
      <c r="CFH155" s="14"/>
      <c r="CFI155" s="14"/>
      <c r="CFJ155" s="14"/>
      <c r="CFK155" s="14"/>
      <c r="CFL155" s="14"/>
      <c r="CFM155" s="14"/>
      <c r="CFN155" s="14"/>
      <c r="CFO155" s="14"/>
      <c r="CFP155" s="14"/>
      <c r="CFQ155" s="14"/>
      <c r="CFR155" s="14"/>
      <c r="CFS155" s="14"/>
      <c r="CFT155" s="14"/>
      <c r="CFU155" s="14"/>
      <c r="CFV155" s="14"/>
      <c r="CFW155" s="14"/>
      <c r="CFX155" s="14"/>
      <c r="CFY155" s="14"/>
      <c r="CFZ155" s="14"/>
      <c r="CGA155" s="14"/>
      <c r="CGB155" s="14"/>
      <c r="CGC155" s="14"/>
      <c r="CGD155" s="14"/>
      <c r="CGE155" s="14"/>
      <c r="CGF155" s="14"/>
      <c r="CGG155" s="14"/>
      <c r="CGH155" s="14"/>
      <c r="CGI155" s="14"/>
      <c r="CGJ155" s="14"/>
      <c r="CGK155" s="14"/>
      <c r="CGL155" s="14"/>
      <c r="CGM155" s="14"/>
      <c r="CGN155" s="14"/>
      <c r="CGO155" s="14"/>
      <c r="CGP155" s="14"/>
      <c r="CGQ155" s="14"/>
      <c r="CGR155" s="14"/>
      <c r="CGS155" s="14"/>
      <c r="CGT155" s="14"/>
      <c r="CGU155" s="14"/>
      <c r="CGV155" s="14"/>
      <c r="CGW155" s="14"/>
      <c r="CGX155" s="14"/>
      <c r="CGY155" s="14"/>
      <c r="CGZ155" s="14"/>
      <c r="CHA155" s="14"/>
      <c r="CHB155" s="14"/>
      <c r="CHC155" s="14"/>
      <c r="CHD155" s="14"/>
      <c r="CHE155" s="14"/>
      <c r="CHF155" s="14"/>
      <c r="CHG155" s="14"/>
      <c r="CHH155" s="14"/>
      <c r="CHI155" s="14"/>
      <c r="CHJ155" s="14"/>
      <c r="CHK155" s="14"/>
      <c r="CHL155" s="14"/>
      <c r="CHM155" s="14"/>
      <c r="CHN155" s="14"/>
      <c r="CHO155" s="14"/>
      <c r="CHP155" s="14"/>
      <c r="CHQ155" s="14"/>
      <c r="CHR155" s="14"/>
      <c r="CHS155" s="14"/>
      <c r="CHT155" s="14"/>
      <c r="CHU155" s="14"/>
      <c r="CHV155" s="14"/>
      <c r="CHW155" s="14"/>
      <c r="CHX155" s="14"/>
      <c r="CHY155" s="14"/>
      <c r="CHZ155" s="14"/>
      <c r="CIA155" s="14"/>
      <c r="CIB155" s="14"/>
      <c r="CIC155" s="14"/>
      <c r="CID155" s="14"/>
      <c r="CIE155" s="14"/>
      <c r="CIF155" s="14"/>
      <c r="CIG155" s="14"/>
      <c r="CIH155" s="14"/>
      <c r="CII155" s="14"/>
      <c r="CIJ155" s="14"/>
      <c r="CIK155" s="14"/>
      <c r="CIL155" s="14"/>
      <c r="CIM155" s="14"/>
      <c r="CIN155" s="14"/>
      <c r="CIO155" s="14"/>
      <c r="CIP155" s="14"/>
      <c r="CIQ155" s="14"/>
      <c r="CIR155" s="14"/>
      <c r="CIS155" s="14"/>
      <c r="CIT155" s="14"/>
      <c r="CIU155" s="14"/>
      <c r="CIV155" s="14"/>
      <c r="CIW155" s="14"/>
      <c r="CIX155" s="14"/>
      <c r="CIY155" s="14"/>
      <c r="CIZ155" s="14"/>
      <c r="CJA155" s="14"/>
      <c r="CJB155" s="14"/>
      <c r="CJC155" s="14"/>
      <c r="CJD155" s="14"/>
      <c r="CJE155" s="14"/>
      <c r="CJF155" s="14"/>
      <c r="CJG155" s="14"/>
      <c r="CJH155" s="14"/>
      <c r="CJI155" s="14"/>
      <c r="CJJ155" s="14"/>
      <c r="CJK155" s="14"/>
      <c r="CJL155" s="14"/>
      <c r="CJM155" s="14"/>
      <c r="CJN155" s="14"/>
      <c r="CJO155" s="14"/>
      <c r="CJP155" s="14"/>
      <c r="CJQ155" s="14"/>
      <c r="CJR155" s="14"/>
      <c r="CJS155" s="14"/>
      <c r="CJT155" s="14"/>
      <c r="CJU155" s="14"/>
      <c r="CJV155" s="14"/>
      <c r="CJW155" s="14"/>
      <c r="CJX155" s="14"/>
      <c r="CJY155" s="14"/>
      <c r="CJZ155" s="14"/>
      <c r="CKA155" s="14"/>
      <c r="CKB155" s="14"/>
      <c r="CKC155" s="14"/>
      <c r="CKD155" s="14"/>
      <c r="CKE155" s="14"/>
      <c r="CKF155" s="14"/>
      <c r="CKG155" s="14"/>
      <c r="CKH155" s="14"/>
      <c r="CKI155" s="14"/>
      <c r="CKJ155" s="14"/>
      <c r="CKK155" s="14"/>
      <c r="CKL155" s="14"/>
      <c r="CKM155" s="14"/>
      <c r="CKN155" s="14"/>
      <c r="CKO155" s="14"/>
      <c r="CKP155" s="14"/>
      <c r="CKQ155" s="14"/>
      <c r="CKR155" s="14"/>
      <c r="CKS155" s="14"/>
      <c r="CKT155" s="14"/>
      <c r="CKU155" s="14"/>
      <c r="CKV155" s="14"/>
      <c r="CKW155" s="14"/>
      <c r="CKX155" s="14"/>
      <c r="CKY155" s="14"/>
      <c r="CKZ155" s="14"/>
      <c r="CLA155" s="14"/>
      <c r="CLB155" s="14"/>
      <c r="CLC155" s="14"/>
      <c r="CLD155" s="14"/>
      <c r="CLE155" s="14"/>
      <c r="CLF155" s="14"/>
      <c r="CLG155" s="14"/>
      <c r="CLH155" s="14"/>
      <c r="CLI155" s="14"/>
      <c r="CLJ155" s="14"/>
      <c r="CLK155" s="14"/>
      <c r="CLL155" s="14"/>
      <c r="CLM155" s="14"/>
      <c r="CLN155" s="14"/>
      <c r="CLO155" s="14"/>
      <c r="CLP155" s="14"/>
      <c r="CLQ155" s="14"/>
      <c r="CLR155" s="14"/>
      <c r="CLS155" s="14"/>
      <c r="CLT155" s="14"/>
      <c r="CLU155" s="14"/>
      <c r="CLV155" s="14"/>
      <c r="CLW155" s="14"/>
      <c r="CLX155" s="14"/>
      <c r="CLY155" s="14"/>
      <c r="CLZ155" s="14"/>
      <c r="CMA155" s="14"/>
      <c r="CMB155" s="14"/>
      <c r="CMC155" s="14"/>
      <c r="CMD155" s="14"/>
      <c r="CME155" s="14"/>
      <c r="CMF155" s="14"/>
      <c r="CMG155" s="14"/>
      <c r="CMH155" s="14"/>
      <c r="CMI155" s="14"/>
      <c r="CMJ155" s="14"/>
      <c r="CMK155" s="14"/>
      <c r="CML155" s="14"/>
      <c r="CMM155" s="14"/>
      <c r="CMN155" s="14"/>
      <c r="CMO155" s="14"/>
      <c r="CMP155" s="14"/>
      <c r="CMQ155" s="14"/>
      <c r="CMR155" s="14"/>
      <c r="CMS155" s="14"/>
      <c r="CMT155" s="14"/>
      <c r="CMU155" s="14"/>
      <c r="CMV155" s="14"/>
      <c r="CMW155" s="14"/>
      <c r="CMX155" s="14"/>
      <c r="CMY155" s="14"/>
      <c r="CMZ155" s="14"/>
      <c r="CNA155" s="14"/>
      <c r="CNB155" s="14"/>
      <c r="CNC155" s="14"/>
      <c r="CND155" s="14"/>
      <c r="CNE155" s="14"/>
      <c r="CNF155" s="14"/>
      <c r="CNG155" s="14"/>
      <c r="CNH155" s="14"/>
      <c r="CNI155" s="14"/>
      <c r="CNJ155" s="14"/>
      <c r="CNK155" s="14"/>
      <c r="CNL155" s="14"/>
      <c r="CNM155" s="14"/>
      <c r="CNN155" s="14"/>
      <c r="CNO155" s="14"/>
      <c r="CNP155" s="14"/>
      <c r="CNQ155" s="14"/>
      <c r="CNR155" s="14"/>
      <c r="CNS155" s="14"/>
      <c r="CNT155" s="14"/>
      <c r="CNU155" s="14"/>
      <c r="CNV155" s="14"/>
      <c r="CNW155" s="14"/>
      <c r="CNX155" s="14"/>
      <c r="CNY155" s="14"/>
      <c r="CNZ155" s="14"/>
      <c r="COA155" s="14"/>
      <c r="COB155" s="14"/>
      <c r="COC155" s="14"/>
      <c r="COD155" s="14"/>
      <c r="COE155" s="14"/>
      <c r="COF155" s="14"/>
      <c r="COG155" s="14"/>
      <c r="COH155" s="14"/>
      <c r="COI155" s="14"/>
      <c r="COJ155" s="14"/>
      <c r="COK155" s="14"/>
      <c r="COL155" s="14"/>
      <c r="COM155" s="14"/>
      <c r="CON155" s="14"/>
      <c r="COO155" s="14"/>
      <c r="COP155" s="14"/>
      <c r="COQ155" s="14"/>
      <c r="COR155" s="14"/>
      <c r="COS155" s="14"/>
      <c r="COT155" s="14"/>
      <c r="COU155" s="14"/>
      <c r="COV155" s="14"/>
      <c r="COW155" s="14"/>
      <c r="COX155" s="14"/>
      <c r="COY155" s="14"/>
      <c r="COZ155" s="14"/>
      <c r="CPA155" s="14"/>
      <c r="CPB155" s="14"/>
      <c r="CPC155" s="14"/>
      <c r="CPD155" s="14"/>
      <c r="CPE155" s="14"/>
      <c r="CPF155" s="14"/>
      <c r="CPG155" s="14"/>
      <c r="CPH155" s="14"/>
      <c r="CPI155" s="14"/>
      <c r="CPJ155" s="14"/>
      <c r="CPK155" s="14"/>
      <c r="CPL155" s="14"/>
      <c r="CPM155" s="14"/>
      <c r="CPN155" s="14"/>
      <c r="CPO155" s="14"/>
      <c r="CPP155" s="14"/>
      <c r="CPQ155" s="14"/>
      <c r="CPR155" s="14"/>
      <c r="CPS155" s="14"/>
      <c r="CPT155" s="14"/>
      <c r="CPU155" s="14"/>
      <c r="CPV155" s="14"/>
      <c r="CPW155" s="14"/>
      <c r="CPX155" s="14"/>
      <c r="CPY155" s="14"/>
      <c r="CPZ155" s="14"/>
      <c r="CQA155" s="14"/>
      <c r="CQB155" s="14"/>
      <c r="CQC155" s="14"/>
      <c r="CQD155" s="14"/>
      <c r="CQE155" s="14"/>
      <c r="CQF155" s="14"/>
      <c r="CQG155" s="14"/>
      <c r="CQH155" s="14"/>
      <c r="CQI155" s="14"/>
      <c r="CQJ155" s="14"/>
      <c r="CQK155" s="14"/>
      <c r="CQL155" s="14"/>
      <c r="CQM155" s="14"/>
      <c r="CQN155" s="14"/>
      <c r="CQO155" s="14"/>
      <c r="CQP155" s="14"/>
      <c r="CQQ155" s="14"/>
      <c r="CQR155" s="14"/>
      <c r="CQS155" s="14"/>
      <c r="CQT155" s="14"/>
      <c r="CQU155" s="14"/>
      <c r="CQV155" s="14"/>
      <c r="CQW155" s="14"/>
      <c r="CQX155" s="14"/>
      <c r="CQY155" s="14"/>
      <c r="CQZ155" s="14"/>
      <c r="CRA155" s="14"/>
      <c r="CRB155" s="14"/>
      <c r="CRC155" s="14"/>
      <c r="CRD155" s="14"/>
      <c r="CRE155" s="14"/>
      <c r="CRF155" s="14"/>
      <c r="CRG155" s="14"/>
      <c r="CRH155" s="14"/>
      <c r="CRI155" s="14"/>
      <c r="CRJ155" s="14"/>
      <c r="CRK155" s="14"/>
      <c r="CRL155" s="14"/>
      <c r="CRM155" s="14"/>
      <c r="CRN155" s="14"/>
      <c r="CRO155" s="14"/>
      <c r="CRP155" s="14"/>
      <c r="CRQ155" s="14"/>
      <c r="CRR155" s="14"/>
      <c r="CRS155" s="14"/>
      <c r="CRT155" s="14"/>
      <c r="CRU155" s="14"/>
      <c r="CRV155" s="14"/>
      <c r="CRW155" s="14"/>
      <c r="CRX155" s="14"/>
      <c r="CRY155" s="14"/>
      <c r="CRZ155" s="14"/>
      <c r="CSA155" s="14"/>
      <c r="CSB155" s="14"/>
      <c r="CSC155" s="14"/>
      <c r="CSD155" s="14"/>
      <c r="CSE155" s="14"/>
      <c r="CSF155" s="14"/>
      <c r="CSG155" s="14"/>
      <c r="CSH155" s="14"/>
      <c r="CSI155" s="14"/>
      <c r="CSJ155" s="14"/>
      <c r="CSK155" s="14"/>
      <c r="CSL155" s="14"/>
      <c r="CSM155" s="14"/>
      <c r="CSN155" s="14"/>
      <c r="CSO155" s="14"/>
      <c r="CSP155" s="14"/>
      <c r="CSQ155" s="14"/>
      <c r="CSR155" s="14"/>
      <c r="CSS155" s="14"/>
      <c r="CST155" s="14"/>
      <c r="CSU155" s="14"/>
      <c r="CSV155" s="14"/>
      <c r="CSW155" s="14"/>
      <c r="CSX155" s="14"/>
      <c r="CSY155" s="14"/>
      <c r="CSZ155" s="14"/>
      <c r="CTA155" s="14"/>
      <c r="CTB155" s="14"/>
      <c r="CTC155" s="14"/>
      <c r="CTD155" s="14"/>
      <c r="CTE155" s="14"/>
      <c r="CTF155" s="14"/>
      <c r="CTG155" s="14"/>
      <c r="CTH155" s="14"/>
      <c r="CTI155" s="14"/>
      <c r="CTJ155" s="14"/>
      <c r="CTK155" s="14"/>
      <c r="CTL155" s="14"/>
      <c r="CTM155" s="14"/>
      <c r="CTN155" s="14"/>
      <c r="CTO155" s="14"/>
      <c r="CTP155" s="14"/>
      <c r="CTQ155" s="14"/>
      <c r="CTR155" s="14"/>
      <c r="CTS155" s="14"/>
      <c r="CTT155" s="14"/>
      <c r="CTU155" s="14"/>
      <c r="CTV155" s="14"/>
      <c r="CTW155" s="14"/>
      <c r="CTX155" s="14"/>
      <c r="CTY155" s="14"/>
      <c r="CTZ155" s="14"/>
      <c r="CUA155" s="14"/>
      <c r="CUB155" s="14"/>
      <c r="CUC155" s="14"/>
      <c r="CUD155" s="14"/>
      <c r="CUE155" s="14"/>
      <c r="CUF155" s="14"/>
      <c r="CUG155" s="14"/>
      <c r="CUH155" s="14"/>
      <c r="CUI155" s="14"/>
      <c r="CUJ155" s="14"/>
      <c r="CUK155" s="14"/>
      <c r="CUL155" s="14"/>
      <c r="CUM155" s="14"/>
      <c r="CUN155" s="14"/>
      <c r="CUO155" s="14"/>
      <c r="CUP155" s="14"/>
      <c r="CUQ155" s="14"/>
      <c r="CUR155" s="14"/>
      <c r="CUS155" s="14"/>
      <c r="CUT155" s="14"/>
      <c r="CUU155" s="14"/>
      <c r="CUV155" s="14"/>
      <c r="CUW155" s="14"/>
      <c r="CUX155" s="14"/>
      <c r="CUY155" s="14"/>
      <c r="CUZ155" s="14"/>
      <c r="CVA155" s="14"/>
      <c r="CVB155" s="14"/>
      <c r="CVC155" s="14"/>
      <c r="CVD155" s="14"/>
      <c r="CVE155" s="14"/>
      <c r="CVF155" s="14"/>
      <c r="CVG155" s="14"/>
      <c r="CVH155" s="14"/>
      <c r="CVI155" s="14"/>
      <c r="CVJ155" s="14"/>
      <c r="CVK155" s="14"/>
      <c r="CVL155" s="14"/>
      <c r="CVM155" s="14"/>
      <c r="CVN155" s="14"/>
      <c r="CVO155" s="14"/>
      <c r="CVP155" s="14"/>
      <c r="CVQ155" s="14"/>
      <c r="CVR155" s="14"/>
      <c r="CVS155" s="14"/>
      <c r="CVT155" s="14"/>
      <c r="CVU155" s="14"/>
      <c r="CVV155" s="14"/>
      <c r="CVW155" s="14"/>
      <c r="CVX155" s="14"/>
      <c r="CVY155" s="14"/>
      <c r="CVZ155" s="14"/>
      <c r="CWA155" s="14"/>
      <c r="CWB155" s="14"/>
      <c r="CWC155" s="14"/>
      <c r="CWD155" s="14"/>
      <c r="CWE155" s="14"/>
      <c r="CWF155" s="14"/>
      <c r="CWG155" s="14"/>
      <c r="CWH155" s="14"/>
      <c r="CWI155" s="14"/>
      <c r="CWJ155" s="14"/>
      <c r="CWK155" s="14"/>
      <c r="CWL155" s="14"/>
      <c r="CWM155" s="14"/>
      <c r="CWN155" s="14"/>
      <c r="CWO155" s="14"/>
      <c r="CWP155" s="14"/>
      <c r="CWQ155" s="14"/>
      <c r="CWR155" s="14"/>
      <c r="CWS155" s="14"/>
      <c r="CWT155" s="14"/>
      <c r="CWU155" s="14"/>
      <c r="CWV155" s="14"/>
      <c r="CWW155" s="14"/>
      <c r="CWX155" s="14"/>
      <c r="CWY155" s="14"/>
      <c r="CWZ155" s="14"/>
      <c r="CXA155" s="14"/>
      <c r="CXB155" s="14"/>
      <c r="CXC155" s="14"/>
      <c r="CXD155" s="14"/>
      <c r="CXE155" s="14"/>
      <c r="CXF155" s="14"/>
      <c r="CXG155" s="14"/>
      <c r="CXH155" s="14"/>
      <c r="CXI155" s="14"/>
      <c r="CXJ155" s="14"/>
      <c r="CXK155" s="14"/>
      <c r="CXL155" s="14"/>
      <c r="CXM155" s="14"/>
      <c r="CXN155" s="14"/>
      <c r="CXO155" s="14"/>
      <c r="CXP155" s="14"/>
      <c r="CXQ155" s="14"/>
      <c r="CXR155" s="14"/>
      <c r="CXS155" s="14"/>
      <c r="CXT155" s="14"/>
      <c r="CXU155" s="14"/>
      <c r="CXV155" s="14"/>
      <c r="CXW155" s="14"/>
      <c r="CXX155" s="14"/>
      <c r="CXY155" s="14"/>
      <c r="CXZ155" s="14"/>
      <c r="CYA155" s="14"/>
      <c r="CYB155" s="14"/>
      <c r="CYC155" s="14"/>
      <c r="CYD155" s="14"/>
      <c r="CYE155" s="14"/>
      <c r="CYF155" s="14"/>
      <c r="CYG155" s="14"/>
      <c r="CYH155" s="14"/>
      <c r="CYI155" s="14"/>
      <c r="CYJ155" s="14"/>
      <c r="CYK155" s="14"/>
      <c r="CYL155" s="14"/>
      <c r="CYM155" s="14"/>
      <c r="CYN155" s="14"/>
      <c r="CYO155" s="14"/>
      <c r="CYP155" s="14"/>
      <c r="CYQ155" s="14"/>
      <c r="CYR155" s="14"/>
      <c r="CYS155" s="14"/>
      <c r="CYT155" s="14"/>
      <c r="CYU155" s="14"/>
      <c r="CYV155" s="14"/>
      <c r="CYW155" s="14"/>
      <c r="CYX155" s="14"/>
      <c r="CYY155" s="14"/>
      <c r="CYZ155" s="14"/>
      <c r="CZA155" s="14"/>
      <c r="CZB155" s="14"/>
      <c r="CZC155" s="14"/>
      <c r="CZD155" s="14"/>
      <c r="CZE155" s="14"/>
      <c r="CZF155" s="14"/>
      <c r="CZG155" s="14"/>
      <c r="CZH155" s="14"/>
      <c r="CZI155" s="14"/>
      <c r="CZJ155" s="14"/>
      <c r="CZK155" s="14"/>
      <c r="CZL155" s="14"/>
      <c r="CZM155" s="14"/>
      <c r="CZN155" s="14"/>
      <c r="CZO155" s="14"/>
      <c r="CZP155" s="14"/>
      <c r="CZQ155" s="14"/>
      <c r="CZR155" s="14"/>
      <c r="CZS155" s="14"/>
      <c r="CZT155" s="14"/>
      <c r="CZU155" s="14"/>
      <c r="CZV155" s="14"/>
      <c r="CZW155" s="14"/>
      <c r="CZX155" s="14"/>
      <c r="CZY155" s="14"/>
      <c r="CZZ155" s="14"/>
      <c r="DAA155" s="14"/>
      <c r="DAB155" s="14"/>
      <c r="DAC155" s="14"/>
      <c r="DAD155" s="14"/>
      <c r="DAE155" s="14"/>
      <c r="DAF155" s="14"/>
      <c r="DAG155" s="14"/>
      <c r="DAH155" s="14"/>
      <c r="DAI155" s="14"/>
      <c r="DAJ155" s="14"/>
      <c r="DAK155" s="14"/>
      <c r="DAL155" s="14"/>
      <c r="DAM155" s="14"/>
      <c r="DAN155" s="14"/>
      <c r="DAO155" s="14"/>
      <c r="DAP155" s="14"/>
      <c r="DAQ155" s="14"/>
      <c r="DAR155" s="14"/>
      <c r="DAS155" s="14"/>
      <c r="DAT155" s="14"/>
      <c r="DAU155" s="14"/>
      <c r="DAV155" s="14"/>
      <c r="DAW155" s="14"/>
      <c r="DAX155" s="14"/>
      <c r="DAY155" s="14"/>
      <c r="DAZ155" s="14"/>
      <c r="DBA155" s="14"/>
      <c r="DBB155" s="14"/>
      <c r="DBC155" s="14"/>
      <c r="DBD155" s="14"/>
      <c r="DBE155" s="14"/>
      <c r="DBF155" s="14"/>
      <c r="DBG155" s="14"/>
      <c r="DBH155" s="14"/>
      <c r="DBI155" s="14"/>
      <c r="DBJ155" s="14"/>
      <c r="DBK155" s="14"/>
      <c r="DBL155" s="14"/>
      <c r="DBM155" s="14"/>
      <c r="DBN155" s="14"/>
      <c r="DBO155" s="14"/>
      <c r="DBP155" s="14"/>
      <c r="DBQ155" s="14"/>
      <c r="DBR155" s="14"/>
      <c r="DBS155" s="14"/>
      <c r="DBT155" s="14"/>
      <c r="DBU155" s="14"/>
      <c r="DBV155" s="14"/>
      <c r="DBW155" s="14"/>
      <c r="DBX155" s="14"/>
      <c r="DBY155" s="14"/>
      <c r="DBZ155" s="14"/>
      <c r="DCA155" s="14"/>
      <c r="DCB155" s="14"/>
      <c r="DCC155" s="14"/>
      <c r="DCD155" s="14"/>
      <c r="DCE155" s="14"/>
      <c r="DCF155" s="14"/>
      <c r="DCG155" s="14"/>
      <c r="DCH155" s="14"/>
      <c r="DCI155" s="14"/>
      <c r="DCJ155" s="14"/>
      <c r="DCK155" s="14"/>
      <c r="DCL155" s="14"/>
      <c r="DCM155" s="14"/>
      <c r="DCN155" s="14"/>
      <c r="DCO155" s="14"/>
      <c r="DCP155" s="14"/>
      <c r="DCQ155" s="14"/>
      <c r="DCR155" s="14"/>
      <c r="DCS155" s="14"/>
      <c r="DCT155" s="14"/>
      <c r="DCU155" s="14"/>
      <c r="DCV155" s="14"/>
      <c r="DCW155" s="14"/>
      <c r="DCX155" s="14"/>
      <c r="DCY155" s="14"/>
      <c r="DCZ155" s="14"/>
      <c r="DDA155" s="14"/>
      <c r="DDB155" s="14"/>
      <c r="DDC155" s="14"/>
      <c r="DDD155" s="14"/>
      <c r="DDE155" s="14"/>
      <c r="DDF155" s="14"/>
      <c r="DDG155" s="14"/>
      <c r="DDH155" s="14"/>
      <c r="DDI155" s="14"/>
      <c r="DDJ155" s="14"/>
      <c r="DDK155" s="14"/>
      <c r="DDL155" s="14"/>
      <c r="DDM155" s="14"/>
      <c r="DDN155" s="14"/>
      <c r="DDO155" s="14"/>
      <c r="DDP155" s="14"/>
      <c r="DDQ155" s="14"/>
      <c r="DDR155" s="14"/>
      <c r="DDS155" s="14"/>
      <c r="DDT155" s="14"/>
      <c r="DDU155" s="14"/>
      <c r="DDV155" s="14"/>
      <c r="DDW155" s="14"/>
      <c r="DDX155" s="14"/>
      <c r="DDY155" s="14"/>
      <c r="DDZ155" s="14"/>
      <c r="DEA155" s="14"/>
      <c r="DEB155" s="14"/>
      <c r="DEC155" s="14"/>
      <c r="DED155" s="14"/>
      <c r="DEE155" s="14"/>
      <c r="DEF155" s="14"/>
      <c r="DEG155" s="14"/>
      <c r="DEH155" s="14"/>
      <c r="DEI155" s="14"/>
      <c r="DEJ155" s="14"/>
      <c r="DEK155" s="14"/>
      <c r="DEL155" s="14"/>
      <c r="DEM155" s="14"/>
      <c r="DEN155" s="14"/>
      <c r="DEO155" s="14"/>
      <c r="DEP155" s="14"/>
      <c r="DEQ155" s="14"/>
      <c r="DER155" s="14"/>
      <c r="DES155" s="14"/>
      <c r="DET155" s="14"/>
      <c r="DEU155" s="14"/>
      <c r="DEV155" s="14"/>
      <c r="DEW155" s="14"/>
      <c r="DEX155" s="14"/>
      <c r="DEY155" s="14"/>
      <c r="DEZ155" s="14"/>
      <c r="DFA155" s="14"/>
      <c r="DFB155" s="14"/>
      <c r="DFC155" s="14"/>
      <c r="DFD155" s="14"/>
      <c r="DFE155" s="14"/>
      <c r="DFF155" s="14"/>
      <c r="DFG155" s="14"/>
      <c r="DFH155" s="14"/>
      <c r="DFI155" s="14"/>
      <c r="DFJ155" s="14"/>
      <c r="DFK155" s="14"/>
      <c r="DFL155" s="14"/>
      <c r="DFM155" s="14"/>
      <c r="DFN155" s="14"/>
      <c r="DFO155" s="14"/>
      <c r="DFP155" s="14"/>
      <c r="DFQ155" s="14"/>
      <c r="DFR155" s="14"/>
      <c r="DFS155" s="14"/>
      <c r="DFT155" s="14"/>
      <c r="DFU155" s="14"/>
      <c r="DFV155" s="14"/>
      <c r="DFW155" s="14"/>
      <c r="DFX155" s="14"/>
      <c r="DFY155" s="14"/>
      <c r="DFZ155" s="14"/>
      <c r="DGA155" s="14"/>
      <c r="DGB155" s="14"/>
      <c r="DGC155" s="14"/>
      <c r="DGD155" s="14"/>
      <c r="DGE155" s="14"/>
      <c r="DGF155" s="14"/>
      <c r="DGG155" s="14"/>
      <c r="DGH155" s="14"/>
      <c r="DGI155" s="14"/>
      <c r="DGJ155" s="14"/>
      <c r="DGK155" s="14"/>
      <c r="DGL155" s="14"/>
      <c r="DGM155" s="14"/>
      <c r="DGN155" s="14"/>
      <c r="DGO155" s="14"/>
      <c r="DGP155" s="14"/>
      <c r="DGQ155" s="14"/>
      <c r="DGR155" s="14"/>
      <c r="DGS155" s="14"/>
      <c r="DGT155" s="14"/>
      <c r="DGU155" s="14"/>
      <c r="DGV155" s="14"/>
      <c r="DGW155" s="14"/>
      <c r="DGX155" s="14"/>
      <c r="DGY155" s="14"/>
      <c r="DGZ155" s="14"/>
      <c r="DHA155" s="14"/>
      <c r="DHB155" s="14"/>
      <c r="DHC155" s="14"/>
      <c r="DHD155" s="14"/>
      <c r="DHE155" s="14"/>
      <c r="DHF155" s="14"/>
      <c r="DHG155" s="14"/>
      <c r="DHH155" s="14"/>
      <c r="DHI155" s="14"/>
      <c r="DHJ155" s="14"/>
      <c r="DHK155" s="14"/>
      <c r="DHL155" s="14"/>
      <c r="DHM155" s="14"/>
      <c r="DHN155" s="14"/>
      <c r="DHO155" s="14"/>
      <c r="DHP155" s="14"/>
      <c r="DHQ155" s="14"/>
      <c r="DHR155" s="14"/>
      <c r="DHS155" s="14"/>
      <c r="DHT155" s="14"/>
      <c r="DHU155" s="14"/>
      <c r="DHV155" s="14"/>
      <c r="DHW155" s="14"/>
      <c r="DHX155" s="14"/>
      <c r="DHY155" s="14"/>
      <c r="DHZ155" s="14"/>
      <c r="DIA155" s="14"/>
      <c r="DIB155" s="14"/>
      <c r="DIC155" s="14"/>
      <c r="DID155" s="14"/>
      <c r="DIE155" s="14"/>
      <c r="DIF155" s="14"/>
      <c r="DIG155" s="14"/>
      <c r="DIH155" s="14"/>
      <c r="DII155" s="14"/>
      <c r="DIJ155" s="14"/>
      <c r="DIK155" s="14"/>
      <c r="DIL155" s="14"/>
      <c r="DIM155" s="14"/>
      <c r="DIN155" s="14"/>
      <c r="DIO155" s="14"/>
      <c r="DIP155" s="14"/>
      <c r="DIQ155" s="14"/>
      <c r="DIR155" s="14"/>
      <c r="DIS155" s="14"/>
      <c r="DIT155" s="14"/>
      <c r="DIU155" s="14"/>
      <c r="DIV155" s="14"/>
      <c r="DIW155" s="14"/>
      <c r="DIX155" s="14"/>
      <c r="DIY155" s="14"/>
      <c r="DIZ155" s="14"/>
      <c r="DJA155" s="14"/>
      <c r="DJB155" s="14"/>
      <c r="DJC155" s="14"/>
      <c r="DJD155" s="14"/>
      <c r="DJE155" s="14"/>
      <c r="DJF155" s="14"/>
      <c r="DJG155" s="14"/>
      <c r="DJH155" s="14"/>
      <c r="DJI155" s="14"/>
      <c r="DJJ155" s="14"/>
      <c r="DJK155" s="14"/>
      <c r="DJL155" s="14"/>
      <c r="DJM155" s="14"/>
      <c r="DJN155" s="14"/>
      <c r="DJO155" s="14"/>
      <c r="DJP155" s="14"/>
      <c r="DJQ155" s="14"/>
      <c r="DJR155" s="14"/>
      <c r="DJS155" s="14"/>
      <c r="DJT155" s="14"/>
      <c r="DJU155" s="14"/>
      <c r="DJV155" s="14"/>
      <c r="DJW155" s="14"/>
      <c r="DJX155" s="14"/>
      <c r="DJY155" s="14"/>
      <c r="DJZ155" s="14"/>
      <c r="DKA155" s="14"/>
      <c r="DKB155" s="14"/>
      <c r="DKC155" s="14"/>
      <c r="DKD155" s="14"/>
      <c r="DKE155" s="14"/>
      <c r="DKF155" s="14"/>
      <c r="DKG155" s="14"/>
      <c r="DKH155" s="14"/>
      <c r="DKI155" s="14"/>
      <c r="DKJ155" s="14"/>
      <c r="DKK155" s="14"/>
      <c r="DKL155" s="14"/>
      <c r="DKM155" s="14"/>
      <c r="DKN155" s="14"/>
      <c r="DKO155" s="14"/>
      <c r="DKP155" s="14"/>
      <c r="DKQ155" s="14"/>
      <c r="DKR155" s="14"/>
      <c r="DKS155" s="14"/>
      <c r="DKT155" s="14"/>
      <c r="DKU155" s="14"/>
      <c r="DKV155" s="14"/>
      <c r="DKW155" s="14"/>
      <c r="DKX155" s="14"/>
      <c r="DKY155" s="14"/>
      <c r="DKZ155" s="14"/>
      <c r="DLA155" s="14"/>
      <c r="DLB155" s="14"/>
      <c r="DLC155" s="14"/>
      <c r="DLD155" s="14"/>
      <c r="DLE155" s="14"/>
      <c r="DLF155" s="14"/>
      <c r="DLG155" s="14"/>
      <c r="DLH155" s="14"/>
      <c r="DLI155" s="14"/>
      <c r="DLJ155" s="14"/>
      <c r="DLK155" s="14"/>
      <c r="DLL155" s="14"/>
      <c r="DLM155" s="14"/>
      <c r="DLN155" s="14"/>
      <c r="DLO155" s="14"/>
      <c r="DLP155" s="14"/>
      <c r="DLQ155" s="14"/>
      <c r="DLR155" s="14"/>
      <c r="DLS155" s="14"/>
      <c r="DLT155" s="14"/>
      <c r="DLU155" s="14"/>
      <c r="DLV155" s="14"/>
      <c r="DLW155" s="14"/>
      <c r="DLX155" s="14"/>
      <c r="DLY155" s="14"/>
      <c r="DLZ155" s="14"/>
      <c r="DMA155" s="14"/>
      <c r="DMB155" s="14"/>
      <c r="DMC155" s="14"/>
      <c r="DMD155" s="14"/>
      <c r="DME155" s="14"/>
      <c r="DMF155" s="14"/>
      <c r="DMG155" s="14"/>
      <c r="DMH155" s="14"/>
      <c r="DMI155" s="14"/>
      <c r="DMJ155" s="14"/>
      <c r="DMK155" s="14"/>
      <c r="DML155" s="14"/>
      <c r="DMM155" s="14"/>
      <c r="DMN155" s="14"/>
      <c r="DMO155" s="14"/>
      <c r="DMP155" s="14"/>
      <c r="DMQ155" s="14"/>
      <c r="DMR155" s="14"/>
      <c r="DMS155" s="14"/>
      <c r="DMT155" s="14"/>
      <c r="DMU155" s="14"/>
      <c r="DMV155" s="14"/>
      <c r="DMW155" s="14"/>
      <c r="DMX155" s="14"/>
      <c r="DMY155" s="14"/>
      <c r="DMZ155" s="14"/>
      <c r="DNA155" s="14"/>
      <c r="DNB155" s="14"/>
      <c r="DNC155" s="14"/>
      <c r="DND155" s="14"/>
      <c r="DNE155" s="14"/>
      <c r="DNF155" s="14"/>
      <c r="DNG155" s="14"/>
      <c r="DNH155" s="14"/>
      <c r="DNI155" s="14"/>
      <c r="DNJ155" s="14"/>
      <c r="DNK155" s="14"/>
      <c r="DNL155" s="14"/>
      <c r="DNM155" s="14"/>
      <c r="DNN155" s="14"/>
      <c r="DNO155" s="14"/>
      <c r="DNP155" s="14"/>
      <c r="DNQ155" s="14"/>
      <c r="DNR155" s="14"/>
      <c r="DNS155" s="14"/>
      <c r="DNT155" s="14"/>
      <c r="DNU155" s="14"/>
      <c r="DNV155" s="14"/>
      <c r="DNW155" s="14"/>
      <c r="DNX155" s="14"/>
      <c r="DNY155" s="14"/>
      <c r="DNZ155" s="14"/>
      <c r="DOA155" s="14"/>
      <c r="DOB155" s="14"/>
      <c r="DOC155" s="14"/>
      <c r="DOD155" s="14"/>
      <c r="DOE155" s="14"/>
      <c r="DOF155" s="14"/>
      <c r="DOG155" s="14"/>
      <c r="DOH155" s="14"/>
      <c r="DOI155" s="14"/>
      <c r="DOJ155" s="14"/>
      <c r="DOK155" s="14"/>
      <c r="DOL155" s="14"/>
      <c r="DOM155" s="14"/>
      <c r="DON155" s="14"/>
      <c r="DOO155" s="14"/>
      <c r="DOP155" s="14"/>
      <c r="DOQ155" s="14"/>
      <c r="DOR155" s="14"/>
      <c r="DOS155" s="14"/>
      <c r="DOT155" s="14"/>
      <c r="DOU155" s="14"/>
      <c r="DOV155" s="14"/>
      <c r="DOW155" s="14"/>
      <c r="DOX155" s="14"/>
      <c r="DOY155" s="14"/>
      <c r="DOZ155" s="14"/>
      <c r="DPA155" s="14"/>
      <c r="DPB155" s="14"/>
      <c r="DPC155" s="14"/>
      <c r="DPD155" s="14"/>
      <c r="DPE155" s="14"/>
      <c r="DPF155" s="14"/>
      <c r="DPG155" s="14"/>
      <c r="DPH155" s="14"/>
      <c r="DPI155" s="14"/>
      <c r="DPJ155" s="14"/>
      <c r="DPK155" s="14"/>
      <c r="DPL155" s="14"/>
      <c r="DPM155" s="14"/>
      <c r="DPN155" s="14"/>
      <c r="DPO155" s="14"/>
      <c r="DPP155" s="14"/>
      <c r="DPQ155" s="14"/>
      <c r="DPR155" s="14"/>
      <c r="DPS155" s="14"/>
      <c r="DPT155" s="14"/>
      <c r="DPU155" s="14"/>
      <c r="DPV155" s="14"/>
      <c r="DPW155" s="14"/>
      <c r="DPX155" s="14"/>
      <c r="DPY155" s="14"/>
      <c r="DPZ155" s="14"/>
      <c r="DQA155" s="14"/>
      <c r="DQB155" s="14"/>
      <c r="DQC155" s="14"/>
      <c r="DQD155" s="14"/>
      <c r="DQE155" s="14"/>
      <c r="DQF155" s="14"/>
      <c r="DQG155" s="14"/>
      <c r="DQH155" s="14"/>
      <c r="DQI155" s="14"/>
      <c r="DQJ155" s="14"/>
      <c r="DQK155" s="14"/>
      <c r="DQL155" s="14"/>
      <c r="DQM155" s="14"/>
      <c r="DQN155" s="14"/>
      <c r="DQO155" s="14"/>
      <c r="DQP155" s="14"/>
      <c r="DQQ155" s="14"/>
      <c r="DQR155" s="14"/>
      <c r="DQS155" s="14"/>
      <c r="DQT155" s="14"/>
      <c r="DQU155" s="14"/>
      <c r="DQV155" s="14"/>
      <c r="DQW155" s="14"/>
      <c r="DQX155" s="14"/>
      <c r="DQY155" s="14"/>
      <c r="DQZ155" s="14"/>
      <c r="DRA155" s="14"/>
      <c r="DRB155" s="14"/>
      <c r="DRC155" s="14"/>
      <c r="DRD155" s="14"/>
      <c r="DRE155" s="14"/>
      <c r="DRF155" s="14"/>
      <c r="DRG155" s="14"/>
      <c r="DRH155" s="14"/>
      <c r="DRI155" s="14"/>
      <c r="DRJ155" s="14"/>
      <c r="DRK155" s="14"/>
      <c r="DRL155" s="14"/>
      <c r="DRM155" s="14"/>
      <c r="DRN155" s="14"/>
      <c r="DRO155" s="14"/>
      <c r="DRP155" s="14"/>
      <c r="DRQ155" s="14"/>
      <c r="DRR155" s="14"/>
      <c r="DRS155" s="14"/>
      <c r="DRT155" s="14"/>
      <c r="DRU155" s="14"/>
      <c r="DRV155" s="14"/>
      <c r="DRW155" s="14"/>
      <c r="DRX155" s="14"/>
      <c r="DRY155" s="14"/>
      <c r="DRZ155" s="14"/>
      <c r="DSA155" s="14"/>
      <c r="DSB155" s="14"/>
      <c r="DSC155" s="14"/>
      <c r="DSD155" s="14"/>
      <c r="DSE155" s="14"/>
      <c r="DSF155" s="14"/>
      <c r="DSG155" s="14"/>
      <c r="DSH155" s="14"/>
      <c r="DSI155" s="14"/>
      <c r="DSJ155" s="14"/>
      <c r="DSK155" s="14"/>
      <c r="DSL155" s="14"/>
      <c r="DSM155" s="14"/>
      <c r="DSN155" s="14"/>
      <c r="DSO155" s="14"/>
      <c r="DSP155" s="14"/>
      <c r="DSQ155" s="14"/>
      <c r="DSR155" s="14"/>
      <c r="DSS155" s="14"/>
      <c r="DST155" s="14"/>
      <c r="DSU155" s="14"/>
      <c r="DSV155" s="14"/>
      <c r="DSW155" s="14"/>
      <c r="DSX155" s="14"/>
      <c r="DSY155" s="14"/>
      <c r="DSZ155" s="14"/>
      <c r="DTA155" s="14"/>
      <c r="DTB155" s="14"/>
      <c r="DTC155" s="14"/>
      <c r="DTD155" s="14"/>
      <c r="DTE155" s="14"/>
      <c r="DTF155" s="14"/>
      <c r="DTG155" s="14"/>
      <c r="DTH155" s="14"/>
      <c r="DTI155" s="14"/>
      <c r="DTJ155" s="14"/>
      <c r="DTK155" s="14"/>
      <c r="DTL155" s="14"/>
      <c r="DTM155" s="14"/>
      <c r="DTN155" s="14"/>
      <c r="DTO155" s="14"/>
      <c r="DTP155" s="14"/>
      <c r="DTQ155" s="14"/>
      <c r="DTR155" s="14"/>
      <c r="DTS155" s="14"/>
      <c r="DTT155" s="14"/>
      <c r="DTU155" s="14"/>
      <c r="DTV155" s="14"/>
      <c r="DTW155" s="14"/>
      <c r="DTX155" s="14"/>
      <c r="DTY155" s="14"/>
      <c r="DTZ155" s="14"/>
      <c r="DUA155" s="14"/>
      <c r="DUB155" s="14"/>
      <c r="DUC155" s="14"/>
      <c r="DUD155" s="14"/>
      <c r="DUE155" s="14"/>
      <c r="DUF155" s="14"/>
      <c r="DUG155" s="14"/>
      <c r="DUH155" s="14"/>
      <c r="DUI155" s="14"/>
      <c r="DUJ155" s="14"/>
      <c r="DUK155" s="14"/>
      <c r="DUL155" s="14"/>
      <c r="DUM155" s="14"/>
      <c r="DUN155" s="14"/>
      <c r="DUO155" s="14"/>
      <c r="DUP155" s="14"/>
      <c r="DUQ155" s="14"/>
      <c r="DUR155" s="14"/>
      <c r="DUS155" s="14"/>
      <c r="DUT155" s="14"/>
      <c r="DUU155" s="14"/>
      <c r="DUV155" s="14"/>
      <c r="DUW155" s="14"/>
      <c r="DUX155" s="14"/>
      <c r="DUY155" s="14"/>
      <c r="DUZ155" s="14"/>
      <c r="DVA155" s="14"/>
      <c r="DVB155" s="14"/>
      <c r="DVC155" s="14"/>
      <c r="DVD155" s="14"/>
      <c r="DVE155" s="14"/>
      <c r="DVF155" s="14"/>
      <c r="DVG155" s="14"/>
      <c r="DVH155" s="14"/>
      <c r="DVI155" s="14"/>
      <c r="DVJ155" s="14"/>
      <c r="DVK155" s="14"/>
      <c r="DVL155" s="14"/>
      <c r="DVM155" s="14"/>
      <c r="DVN155" s="14"/>
      <c r="DVO155" s="14"/>
      <c r="DVP155" s="14"/>
      <c r="DVQ155" s="14"/>
      <c r="DVR155" s="14"/>
      <c r="DVS155" s="14"/>
      <c r="DVT155" s="14"/>
      <c r="DVU155" s="14"/>
      <c r="DVV155" s="14"/>
      <c r="DVW155" s="14"/>
      <c r="DVX155" s="14"/>
      <c r="DVY155" s="14"/>
      <c r="DVZ155" s="14"/>
      <c r="DWA155" s="14"/>
      <c r="DWB155" s="14"/>
      <c r="DWC155" s="14"/>
      <c r="DWD155" s="14"/>
      <c r="DWE155" s="14"/>
      <c r="DWF155" s="14"/>
      <c r="DWG155" s="14"/>
      <c r="DWH155" s="14"/>
      <c r="DWI155" s="14"/>
      <c r="DWJ155" s="14"/>
      <c r="DWK155" s="14"/>
      <c r="DWL155" s="14"/>
      <c r="DWM155" s="14"/>
      <c r="DWN155" s="14"/>
      <c r="DWO155" s="14"/>
      <c r="DWP155" s="14"/>
      <c r="DWQ155" s="14"/>
      <c r="DWR155" s="14"/>
      <c r="DWS155" s="14"/>
      <c r="DWT155" s="14"/>
      <c r="DWU155" s="14"/>
      <c r="DWV155" s="14"/>
      <c r="DWW155" s="14"/>
      <c r="DWX155" s="14"/>
      <c r="DWY155" s="14"/>
      <c r="DWZ155" s="14"/>
      <c r="DXA155" s="14"/>
      <c r="DXB155" s="14"/>
      <c r="DXC155" s="14"/>
      <c r="DXD155" s="14"/>
      <c r="DXE155" s="14"/>
      <c r="DXF155" s="14"/>
      <c r="DXG155" s="14"/>
      <c r="DXH155" s="14"/>
      <c r="DXI155" s="14"/>
      <c r="DXJ155" s="14"/>
      <c r="DXK155" s="14"/>
      <c r="DXL155" s="14"/>
      <c r="DXM155" s="14"/>
      <c r="DXN155" s="14"/>
      <c r="DXO155" s="14"/>
      <c r="DXP155" s="14"/>
      <c r="DXQ155" s="14"/>
      <c r="DXR155" s="14"/>
      <c r="DXS155" s="14"/>
      <c r="DXT155" s="14"/>
      <c r="DXU155" s="14"/>
      <c r="DXV155" s="14"/>
      <c r="DXW155" s="14"/>
      <c r="DXX155" s="14"/>
      <c r="DXY155" s="14"/>
      <c r="DXZ155" s="14"/>
      <c r="DYA155" s="14"/>
      <c r="DYB155" s="14"/>
      <c r="DYC155" s="14"/>
      <c r="DYD155" s="14"/>
      <c r="DYE155" s="14"/>
      <c r="DYF155" s="14"/>
      <c r="DYG155" s="14"/>
      <c r="DYH155" s="14"/>
      <c r="DYI155" s="14"/>
      <c r="DYJ155" s="14"/>
      <c r="DYK155" s="14"/>
      <c r="DYL155" s="14"/>
      <c r="DYM155" s="14"/>
      <c r="DYN155" s="14"/>
      <c r="DYO155" s="14"/>
      <c r="DYP155" s="14"/>
      <c r="DYQ155" s="14"/>
      <c r="DYR155" s="14"/>
      <c r="DYS155" s="14"/>
      <c r="DYT155" s="14"/>
      <c r="DYU155" s="14"/>
      <c r="DYV155" s="14"/>
      <c r="DYW155" s="14"/>
      <c r="DYX155" s="14"/>
      <c r="DYY155" s="14"/>
      <c r="DYZ155" s="14"/>
      <c r="DZA155" s="14"/>
      <c r="DZB155" s="14"/>
      <c r="DZC155" s="14"/>
      <c r="DZD155" s="14"/>
      <c r="DZE155" s="14"/>
      <c r="DZF155" s="14"/>
      <c r="DZG155" s="14"/>
      <c r="DZH155" s="14"/>
      <c r="DZI155" s="14"/>
      <c r="DZJ155" s="14"/>
      <c r="DZK155" s="14"/>
      <c r="DZL155" s="14"/>
      <c r="DZM155" s="14"/>
      <c r="DZN155" s="14"/>
      <c r="DZO155" s="14"/>
      <c r="DZP155" s="14"/>
      <c r="DZQ155" s="14"/>
      <c r="DZR155" s="14"/>
      <c r="DZS155" s="14"/>
      <c r="DZT155" s="14"/>
      <c r="DZU155" s="14"/>
      <c r="DZV155" s="14"/>
      <c r="DZW155" s="14"/>
      <c r="DZX155" s="14"/>
      <c r="DZY155" s="14"/>
      <c r="DZZ155" s="14"/>
      <c r="EAA155" s="14"/>
      <c r="EAB155" s="14"/>
      <c r="EAC155" s="14"/>
      <c r="EAD155" s="14"/>
      <c r="EAE155" s="14"/>
      <c r="EAF155" s="14"/>
      <c r="EAG155" s="14"/>
      <c r="EAH155" s="14"/>
      <c r="EAI155" s="14"/>
      <c r="EAJ155" s="14"/>
      <c r="EAK155" s="14"/>
      <c r="EAL155" s="14"/>
      <c r="EAM155" s="14"/>
      <c r="EAN155" s="14"/>
      <c r="EAO155" s="14"/>
      <c r="EAP155" s="14"/>
      <c r="EAQ155" s="14"/>
      <c r="EAR155" s="14"/>
      <c r="EAS155" s="14"/>
      <c r="EAT155" s="14"/>
      <c r="EAU155" s="14"/>
      <c r="EAV155" s="14"/>
      <c r="EAW155" s="14"/>
      <c r="EAX155" s="14"/>
      <c r="EAY155" s="14"/>
      <c r="EAZ155" s="14"/>
      <c r="EBA155" s="14"/>
      <c r="EBB155" s="14"/>
      <c r="EBC155" s="14"/>
      <c r="EBD155" s="14"/>
      <c r="EBE155" s="14"/>
      <c r="EBF155" s="14"/>
      <c r="EBG155" s="14"/>
      <c r="EBH155" s="14"/>
      <c r="EBI155" s="14"/>
      <c r="EBJ155" s="14"/>
      <c r="EBK155" s="14"/>
      <c r="EBL155" s="14"/>
      <c r="EBM155" s="14"/>
      <c r="EBN155" s="14"/>
      <c r="EBO155" s="14"/>
      <c r="EBP155" s="14"/>
      <c r="EBQ155" s="14"/>
      <c r="EBR155" s="14"/>
      <c r="EBS155" s="14"/>
      <c r="EBT155" s="14"/>
      <c r="EBU155" s="14"/>
      <c r="EBV155" s="14"/>
      <c r="EBW155" s="14"/>
      <c r="EBX155" s="14"/>
      <c r="EBY155" s="14"/>
      <c r="EBZ155" s="14"/>
      <c r="ECA155" s="14"/>
      <c r="ECB155" s="14"/>
      <c r="ECC155" s="14"/>
      <c r="ECD155" s="14"/>
      <c r="ECE155" s="14"/>
      <c r="ECF155" s="14"/>
      <c r="ECG155" s="14"/>
      <c r="ECH155" s="14"/>
      <c r="ECI155" s="14"/>
      <c r="ECJ155" s="14"/>
      <c r="ECK155" s="14"/>
      <c r="ECL155" s="14"/>
      <c r="ECM155" s="14"/>
      <c r="ECN155" s="14"/>
      <c r="ECO155" s="14"/>
      <c r="ECP155" s="14"/>
      <c r="ECQ155" s="14"/>
      <c r="ECR155" s="14"/>
      <c r="ECS155" s="14"/>
      <c r="ECT155" s="14"/>
      <c r="ECU155" s="14"/>
      <c r="ECV155" s="14"/>
      <c r="ECW155" s="14"/>
      <c r="ECX155" s="14"/>
      <c r="ECY155" s="14"/>
      <c r="ECZ155" s="14"/>
      <c r="EDA155" s="14"/>
      <c r="EDB155" s="14"/>
      <c r="EDC155" s="14"/>
      <c r="EDD155" s="14"/>
      <c r="EDE155" s="14"/>
      <c r="EDF155" s="14"/>
      <c r="EDG155" s="14"/>
      <c r="EDH155" s="14"/>
      <c r="EDI155" s="14"/>
      <c r="EDJ155" s="14"/>
      <c r="EDK155" s="14"/>
      <c r="EDL155" s="14"/>
      <c r="EDM155" s="14"/>
      <c r="EDN155" s="14"/>
      <c r="EDO155" s="14"/>
      <c r="EDP155" s="14"/>
      <c r="EDQ155" s="14"/>
      <c r="EDR155" s="14"/>
      <c r="EDS155" s="14"/>
      <c r="EDT155" s="14"/>
      <c r="EDU155" s="14"/>
      <c r="EDV155" s="14"/>
      <c r="EDW155" s="14"/>
      <c r="EDX155" s="14"/>
      <c r="EDY155" s="14"/>
      <c r="EDZ155" s="14"/>
      <c r="EEA155" s="14"/>
      <c r="EEB155" s="14"/>
      <c r="EEC155" s="14"/>
      <c r="EED155" s="14"/>
      <c r="EEE155" s="14"/>
      <c r="EEF155" s="14"/>
      <c r="EEG155" s="14"/>
      <c r="EEH155" s="14"/>
      <c r="EEI155" s="14"/>
      <c r="EEJ155" s="14"/>
      <c r="EEK155" s="14"/>
      <c r="EEL155" s="14"/>
      <c r="EEM155" s="14"/>
      <c r="EEN155" s="14"/>
      <c r="EEO155" s="14"/>
      <c r="EEP155" s="14"/>
      <c r="EEQ155" s="14"/>
      <c r="EER155" s="14"/>
      <c r="EES155" s="14"/>
      <c r="EET155" s="14"/>
      <c r="EEU155" s="14"/>
      <c r="EEV155" s="14"/>
      <c r="EEW155" s="14"/>
      <c r="EEX155" s="14"/>
      <c r="EEY155" s="14"/>
      <c r="EEZ155" s="14"/>
      <c r="EFA155" s="14"/>
      <c r="EFB155" s="14"/>
      <c r="EFC155" s="14"/>
      <c r="EFD155" s="14"/>
      <c r="EFE155" s="14"/>
      <c r="EFF155" s="14"/>
      <c r="EFG155" s="14"/>
      <c r="EFH155" s="14"/>
      <c r="EFI155" s="14"/>
      <c r="EFJ155" s="14"/>
      <c r="EFK155" s="14"/>
      <c r="EFL155" s="14"/>
      <c r="EFM155" s="14"/>
      <c r="EFN155" s="14"/>
      <c r="EFO155" s="14"/>
      <c r="EFP155" s="14"/>
      <c r="EFQ155" s="14"/>
      <c r="EFR155" s="14"/>
      <c r="EFS155" s="14"/>
      <c r="EFT155" s="14"/>
      <c r="EFU155" s="14"/>
      <c r="EFV155" s="14"/>
      <c r="EFW155" s="14"/>
      <c r="EFX155" s="14"/>
      <c r="EFY155" s="14"/>
      <c r="EFZ155" s="14"/>
      <c r="EGA155" s="14"/>
      <c r="EGB155" s="14"/>
      <c r="EGC155" s="14"/>
      <c r="EGD155" s="14"/>
      <c r="EGE155" s="14"/>
      <c r="EGF155" s="14"/>
      <c r="EGG155" s="14"/>
      <c r="EGH155" s="14"/>
      <c r="EGI155" s="14"/>
      <c r="EGJ155" s="14"/>
      <c r="EGK155" s="14"/>
      <c r="EGL155" s="14"/>
      <c r="EGM155" s="14"/>
      <c r="EGN155" s="14"/>
      <c r="EGO155" s="14"/>
      <c r="EGP155" s="14"/>
      <c r="EGQ155" s="14"/>
      <c r="EGR155" s="14"/>
      <c r="EGS155" s="14"/>
      <c r="EGT155" s="14"/>
      <c r="EGU155" s="14"/>
      <c r="EGV155" s="14"/>
      <c r="EGW155" s="14"/>
      <c r="EGX155" s="14"/>
      <c r="EGY155" s="14"/>
      <c r="EGZ155" s="14"/>
      <c r="EHA155" s="14"/>
      <c r="EHB155" s="14"/>
      <c r="EHC155" s="14"/>
      <c r="EHD155" s="14"/>
      <c r="EHE155" s="14"/>
      <c r="EHF155" s="14"/>
      <c r="EHG155" s="14"/>
      <c r="EHH155" s="14"/>
      <c r="EHI155" s="14"/>
      <c r="EHJ155" s="14"/>
      <c r="EHK155" s="14"/>
      <c r="EHL155" s="14"/>
      <c r="EHM155" s="14"/>
      <c r="EHN155" s="14"/>
      <c r="EHO155" s="14"/>
      <c r="EHP155" s="14"/>
      <c r="EHQ155" s="14"/>
      <c r="EHR155" s="14"/>
      <c r="EHS155" s="14"/>
      <c r="EHT155" s="14"/>
      <c r="EHU155" s="14"/>
      <c r="EHV155" s="14"/>
      <c r="EHW155" s="14"/>
      <c r="EHX155" s="14"/>
      <c r="EHY155" s="14"/>
      <c r="EHZ155" s="14"/>
      <c r="EIA155" s="14"/>
      <c r="EIB155" s="14"/>
      <c r="EIC155" s="14"/>
      <c r="EID155" s="14"/>
      <c r="EIE155" s="14"/>
      <c r="EIF155" s="14"/>
      <c r="EIG155" s="14"/>
      <c r="EIH155" s="14"/>
      <c r="EII155" s="14"/>
      <c r="EIJ155" s="14"/>
      <c r="EIK155" s="14"/>
      <c r="EIL155" s="14"/>
      <c r="EIM155" s="14"/>
      <c r="EIN155" s="14"/>
      <c r="EIO155" s="14"/>
      <c r="EIP155" s="14"/>
      <c r="EIQ155" s="14"/>
      <c r="EIR155" s="14"/>
      <c r="EIS155" s="14"/>
      <c r="EIT155" s="14"/>
      <c r="EIU155" s="14"/>
      <c r="EIV155" s="14"/>
      <c r="EIW155" s="14"/>
      <c r="EIX155" s="14"/>
      <c r="EIY155" s="14"/>
      <c r="EIZ155" s="14"/>
      <c r="EJA155" s="14"/>
      <c r="EJB155" s="14"/>
      <c r="EJC155" s="14"/>
      <c r="EJD155" s="14"/>
      <c r="EJE155" s="14"/>
      <c r="EJF155" s="14"/>
      <c r="EJG155" s="14"/>
      <c r="EJH155" s="14"/>
      <c r="EJI155" s="14"/>
      <c r="EJJ155" s="14"/>
      <c r="EJK155" s="14"/>
      <c r="EJL155" s="14"/>
      <c r="EJM155" s="14"/>
      <c r="EJN155" s="14"/>
      <c r="EJO155" s="14"/>
      <c r="EJP155" s="14"/>
      <c r="EJQ155" s="14"/>
      <c r="EJR155" s="14"/>
      <c r="EJS155" s="14"/>
      <c r="EJT155" s="14"/>
      <c r="EJU155" s="14"/>
      <c r="EJV155" s="14"/>
      <c r="EJW155" s="14"/>
      <c r="EJX155" s="14"/>
      <c r="EJY155" s="14"/>
      <c r="EJZ155" s="14"/>
      <c r="EKA155" s="14"/>
      <c r="EKB155" s="14"/>
      <c r="EKC155" s="14"/>
      <c r="EKD155" s="14"/>
      <c r="EKE155" s="14"/>
      <c r="EKF155" s="14"/>
      <c r="EKG155" s="14"/>
      <c r="EKH155" s="14"/>
      <c r="EKI155" s="14"/>
      <c r="EKJ155" s="14"/>
      <c r="EKK155" s="14"/>
      <c r="EKL155" s="14"/>
      <c r="EKM155" s="14"/>
      <c r="EKN155" s="14"/>
      <c r="EKO155" s="14"/>
      <c r="EKP155" s="14"/>
      <c r="EKQ155" s="14"/>
      <c r="EKR155" s="14"/>
      <c r="EKS155" s="14"/>
      <c r="EKT155" s="14"/>
      <c r="EKU155" s="14"/>
      <c r="EKV155" s="14"/>
      <c r="EKW155" s="14"/>
      <c r="EKX155" s="14"/>
      <c r="EKY155" s="14"/>
      <c r="EKZ155" s="14"/>
      <c r="ELA155" s="14"/>
      <c r="ELB155" s="14"/>
      <c r="ELC155" s="14"/>
      <c r="ELD155" s="14"/>
      <c r="ELE155" s="14"/>
      <c r="ELF155" s="14"/>
      <c r="ELG155" s="14"/>
      <c r="ELH155" s="14"/>
      <c r="ELI155" s="14"/>
      <c r="ELJ155" s="14"/>
      <c r="ELK155" s="14"/>
      <c r="ELL155" s="14"/>
      <c r="ELM155" s="14"/>
      <c r="ELN155" s="14"/>
      <c r="ELO155" s="14"/>
      <c r="ELP155" s="14"/>
      <c r="ELQ155" s="14"/>
      <c r="ELR155" s="14"/>
      <c r="ELS155" s="14"/>
      <c r="ELT155" s="14"/>
      <c r="ELU155" s="14"/>
      <c r="ELV155" s="14"/>
      <c r="ELW155" s="14"/>
      <c r="ELX155" s="14"/>
      <c r="ELY155" s="14"/>
      <c r="ELZ155" s="14"/>
      <c r="EMA155" s="14"/>
      <c r="EMB155" s="14"/>
      <c r="EMC155" s="14"/>
      <c r="EMD155" s="14"/>
      <c r="EME155" s="14"/>
      <c r="EMF155" s="14"/>
      <c r="EMG155" s="14"/>
      <c r="EMH155" s="14"/>
      <c r="EMI155" s="14"/>
      <c r="EMJ155" s="14"/>
      <c r="EMK155" s="14"/>
      <c r="EML155" s="14"/>
      <c r="EMM155" s="14"/>
      <c r="EMN155" s="14"/>
      <c r="EMO155" s="14"/>
      <c r="EMP155" s="14"/>
      <c r="EMQ155" s="14"/>
      <c r="EMR155" s="14"/>
      <c r="EMS155" s="14"/>
      <c r="EMT155" s="14"/>
      <c r="EMU155" s="14"/>
      <c r="EMV155" s="14"/>
      <c r="EMW155" s="14"/>
      <c r="EMX155" s="14"/>
      <c r="EMY155" s="14"/>
      <c r="EMZ155" s="14"/>
      <c r="ENA155" s="14"/>
      <c r="ENB155" s="14"/>
      <c r="ENC155" s="14"/>
      <c r="END155" s="14"/>
      <c r="ENE155" s="14"/>
      <c r="ENF155" s="14"/>
      <c r="ENG155" s="14"/>
      <c r="ENH155" s="14"/>
      <c r="ENI155" s="14"/>
      <c r="ENJ155" s="14"/>
      <c r="ENK155" s="14"/>
      <c r="ENL155" s="14"/>
      <c r="ENM155" s="14"/>
      <c r="ENN155" s="14"/>
      <c r="ENO155" s="14"/>
      <c r="ENP155" s="14"/>
      <c r="ENQ155" s="14"/>
      <c r="ENR155" s="14"/>
      <c r="ENS155" s="14"/>
      <c r="ENT155" s="14"/>
      <c r="ENU155" s="14"/>
      <c r="ENV155" s="14"/>
      <c r="ENW155" s="14"/>
      <c r="ENX155" s="14"/>
      <c r="ENY155" s="14"/>
      <c r="ENZ155" s="14"/>
      <c r="EOA155" s="14"/>
      <c r="EOB155" s="14"/>
      <c r="EOC155" s="14"/>
      <c r="EOD155" s="14"/>
      <c r="EOE155" s="14"/>
      <c r="EOF155" s="14"/>
      <c r="EOG155" s="14"/>
      <c r="EOH155" s="14"/>
      <c r="EOI155" s="14"/>
      <c r="EOJ155" s="14"/>
      <c r="EOK155" s="14"/>
      <c r="EOL155" s="14"/>
      <c r="EOM155" s="14"/>
      <c r="EON155" s="14"/>
      <c r="EOO155" s="14"/>
      <c r="EOP155" s="14"/>
      <c r="EOQ155" s="14"/>
      <c r="EOR155" s="14"/>
      <c r="EOS155" s="14"/>
      <c r="EOT155" s="14"/>
      <c r="EOU155" s="14"/>
      <c r="EOV155" s="14"/>
      <c r="EOW155" s="14"/>
      <c r="EOX155" s="14"/>
      <c r="EOY155" s="14"/>
      <c r="EOZ155" s="14"/>
      <c r="EPA155" s="14"/>
      <c r="EPB155" s="14"/>
      <c r="EPC155" s="14"/>
      <c r="EPD155" s="14"/>
      <c r="EPE155" s="14"/>
      <c r="EPF155" s="14"/>
      <c r="EPG155" s="14"/>
      <c r="EPH155" s="14"/>
      <c r="EPI155" s="14"/>
      <c r="EPJ155" s="14"/>
      <c r="EPK155" s="14"/>
      <c r="EPL155" s="14"/>
      <c r="EPM155" s="14"/>
      <c r="EPN155" s="14"/>
      <c r="EPO155" s="14"/>
      <c r="EPP155" s="14"/>
      <c r="EPQ155" s="14"/>
      <c r="EPR155" s="14"/>
      <c r="EPS155" s="14"/>
      <c r="EPT155" s="14"/>
      <c r="EPU155" s="14"/>
      <c r="EPV155" s="14"/>
      <c r="EPW155" s="14"/>
      <c r="EPX155" s="14"/>
      <c r="EPY155" s="14"/>
      <c r="EPZ155" s="14"/>
      <c r="EQA155" s="14"/>
      <c r="EQB155" s="14"/>
      <c r="EQC155" s="14"/>
      <c r="EQD155" s="14"/>
      <c r="EQE155" s="14"/>
      <c r="EQF155" s="14"/>
      <c r="EQG155" s="14"/>
      <c r="EQH155" s="14"/>
      <c r="EQI155" s="14"/>
      <c r="EQJ155" s="14"/>
      <c r="EQK155" s="14"/>
      <c r="EQL155" s="14"/>
      <c r="EQM155" s="14"/>
      <c r="EQN155" s="14"/>
      <c r="EQO155" s="14"/>
      <c r="EQP155" s="14"/>
      <c r="EQQ155" s="14"/>
      <c r="EQR155" s="14"/>
      <c r="EQS155" s="14"/>
      <c r="EQT155" s="14"/>
      <c r="EQU155" s="14"/>
      <c r="EQV155" s="14"/>
      <c r="EQW155" s="14"/>
      <c r="EQX155" s="14"/>
      <c r="EQY155" s="14"/>
      <c r="EQZ155" s="14"/>
      <c r="ERA155" s="14"/>
      <c r="ERB155" s="14"/>
      <c r="ERC155" s="14"/>
      <c r="ERD155" s="14"/>
      <c r="ERE155" s="14"/>
      <c r="ERF155" s="14"/>
      <c r="ERG155" s="14"/>
      <c r="ERH155" s="14"/>
      <c r="ERI155" s="14"/>
      <c r="ERJ155" s="14"/>
      <c r="ERK155" s="14"/>
      <c r="ERL155" s="14"/>
      <c r="ERM155" s="14"/>
      <c r="ERN155" s="14"/>
      <c r="ERO155" s="14"/>
      <c r="ERP155" s="14"/>
      <c r="ERQ155" s="14"/>
      <c r="ERR155" s="14"/>
      <c r="ERS155" s="14"/>
      <c r="ERT155" s="14"/>
      <c r="ERU155" s="14"/>
      <c r="ERV155" s="14"/>
      <c r="ERW155" s="14"/>
      <c r="ERX155" s="14"/>
      <c r="ERY155" s="14"/>
      <c r="ERZ155" s="14"/>
      <c r="ESA155" s="14"/>
      <c r="ESB155" s="14"/>
      <c r="ESC155" s="14"/>
      <c r="ESD155" s="14"/>
      <c r="ESE155" s="14"/>
      <c r="ESF155" s="14"/>
      <c r="ESG155" s="14"/>
      <c r="ESH155" s="14"/>
      <c r="ESI155" s="14"/>
      <c r="ESJ155" s="14"/>
      <c r="ESK155" s="14"/>
      <c r="ESL155" s="14"/>
      <c r="ESM155" s="14"/>
      <c r="ESN155" s="14"/>
      <c r="ESO155" s="14"/>
      <c r="ESP155" s="14"/>
      <c r="ESQ155" s="14"/>
      <c r="ESR155" s="14"/>
      <c r="ESS155" s="14"/>
      <c r="EST155" s="14"/>
      <c r="ESU155" s="14"/>
      <c r="ESV155" s="14"/>
      <c r="ESW155" s="14"/>
      <c r="ESX155" s="14"/>
      <c r="ESY155" s="14"/>
      <c r="ESZ155" s="14"/>
      <c r="ETA155" s="14"/>
      <c r="ETB155" s="14"/>
      <c r="ETC155" s="14"/>
      <c r="ETD155" s="14"/>
      <c r="ETE155" s="14"/>
      <c r="ETF155" s="14"/>
      <c r="ETG155" s="14"/>
      <c r="ETH155" s="14"/>
      <c r="ETI155" s="14"/>
      <c r="ETJ155" s="14"/>
      <c r="ETK155" s="14"/>
      <c r="ETL155" s="14"/>
      <c r="ETM155" s="14"/>
      <c r="ETN155" s="14"/>
      <c r="ETO155" s="14"/>
      <c r="ETP155" s="14"/>
      <c r="ETQ155" s="14"/>
      <c r="ETR155" s="14"/>
      <c r="ETS155" s="14"/>
      <c r="ETT155" s="14"/>
      <c r="ETU155" s="14"/>
      <c r="ETV155" s="14"/>
      <c r="ETW155" s="14"/>
      <c r="ETX155" s="14"/>
      <c r="ETY155" s="14"/>
      <c r="ETZ155" s="14"/>
      <c r="EUA155" s="14"/>
      <c r="EUB155" s="14"/>
      <c r="EUC155" s="14"/>
      <c r="EUD155" s="14"/>
      <c r="EUE155" s="14"/>
      <c r="EUF155" s="14"/>
      <c r="EUG155" s="14"/>
      <c r="EUH155" s="14"/>
      <c r="EUI155" s="14"/>
      <c r="EUJ155" s="14"/>
      <c r="EUK155" s="14"/>
      <c r="EUL155" s="14"/>
      <c r="EUM155" s="14"/>
      <c r="EUN155" s="14"/>
      <c r="EUO155" s="14"/>
      <c r="EUP155" s="14"/>
      <c r="EUQ155" s="14"/>
      <c r="EUR155" s="14"/>
      <c r="EUS155" s="14"/>
      <c r="EUT155" s="14"/>
      <c r="EUU155" s="14"/>
      <c r="EUV155" s="14"/>
      <c r="EUW155" s="14"/>
      <c r="EUX155" s="14"/>
      <c r="EUY155" s="14"/>
      <c r="EUZ155" s="14"/>
      <c r="EVA155" s="14"/>
      <c r="EVB155" s="14"/>
      <c r="EVC155" s="14"/>
      <c r="EVD155" s="14"/>
      <c r="EVE155" s="14"/>
      <c r="EVF155" s="14"/>
      <c r="EVG155" s="14"/>
      <c r="EVH155" s="14"/>
      <c r="EVI155" s="14"/>
      <c r="EVJ155" s="14"/>
      <c r="EVK155" s="14"/>
      <c r="EVL155" s="14"/>
      <c r="EVM155" s="14"/>
      <c r="EVN155" s="14"/>
      <c r="EVO155" s="14"/>
      <c r="EVP155" s="14"/>
      <c r="EVQ155" s="14"/>
      <c r="EVR155" s="14"/>
      <c r="EVS155" s="14"/>
      <c r="EVT155" s="14"/>
      <c r="EVU155" s="14"/>
      <c r="EVV155" s="14"/>
      <c r="EVW155" s="14"/>
      <c r="EVX155" s="14"/>
      <c r="EVY155" s="14"/>
      <c r="EVZ155" s="14"/>
      <c r="EWA155" s="14"/>
      <c r="EWB155" s="14"/>
      <c r="EWC155" s="14"/>
      <c r="EWD155" s="14"/>
      <c r="EWE155" s="14"/>
      <c r="EWF155" s="14"/>
      <c r="EWG155" s="14"/>
      <c r="EWH155" s="14"/>
      <c r="EWI155" s="14"/>
      <c r="EWJ155" s="14"/>
      <c r="EWK155" s="14"/>
      <c r="EWL155" s="14"/>
      <c r="EWM155" s="14"/>
      <c r="EWN155" s="14"/>
      <c r="EWO155" s="14"/>
      <c r="EWP155" s="14"/>
      <c r="EWQ155" s="14"/>
      <c r="EWR155" s="14"/>
      <c r="EWS155" s="14"/>
      <c r="EWT155" s="14"/>
      <c r="EWU155" s="14"/>
      <c r="EWV155" s="14"/>
      <c r="EWW155" s="14"/>
      <c r="EWX155" s="14"/>
      <c r="EWY155" s="14"/>
      <c r="EWZ155" s="14"/>
      <c r="EXA155" s="14"/>
      <c r="EXB155" s="14"/>
      <c r="EXC155" s="14"/>
      <c r="EXD155" s="14"/>
      <c r="EXE155" s="14"/>
      <c r="EXF155" s="14"/>
      <c r="EXG155" s="14"/>
      <c r="EXH155" s="14"/>
      <c r="EXI155" s="14"/>
      <c r="EXJ155" s="14"/>
      <c r="EXK155" s="14"/>
      <c r="EXL155" s="14"/>
      <c r="EXM155" s="14"/>
      <c r="EXN155" s="14"/>
      <c r="EXO155" s="14"/>
      <c r="EXP155" s="14"/>
      <c r="EXQ155" s="14"/>
      <c r="EXR155" s="14"/>
      <c r="EXS155" s="14"/>
      <c r="EXT155" s="14"/>
      <c r="EXU155" s="14"/>
      <c r="EXV155" s="14"/>
      <c r="EXW155" s="14"/>
      <c r="EXX155" s="14"/>
      <c r="EXY155" s="14"/>
      <c r="EXZ155" s="14"/>
      <c r="EYA155" s="14"/>
      <c r="EYB155" s="14"/>
      <c r="EYC155" s="14"/>
      <c r="EYD155" s="14"/>
      <c r="EYE155" s="14"/>
      <c r="EYF155" s="14"/>
      <c r="EYG155" s="14"/>
      <c r="EYH155" s="14"/>
      <c r="EYI155" s="14"/>
      <c r="EYJ155" s="14"/>
      <c r="EYK155" s="14"/>
      <c r="EYL155" s="14"/>
      <c r="EYM155" s="14"/>
      <c r="EYN155" s="14"/>
      <c r="EYO155" s="14"/>
      <c r="EYP155" s="14"/>
      <c r="EYQ155" s="14"/>
      <c r="EYR155" s="14"/>
      <c r="EYS155" s="14"/>
      <c r="EYT155" s="14"/>
      <c r="EYU155" s="14"/>
      <c r="EYV155" s="14"/>
      <c r="EYW155" s="14"/>
      <c r="EYX155" s="14"/>
      <c r="EYY155" s="14"/>
      <c r="EYZ155" s="14"/>
      <c r="EZA155" s="14"/>
      <c r="EZB155" s="14"/>
      <c r="EZC155" s="14"/>
      <c r="EZD155" s="14"/>
      <c r="EZE155" s="14"/>
      <c r="EZF155" s="14"/>
      <c r="EZG155" s="14"/>
      <c r="EZH155" s="14"/>
      <c r="EZI155" s="14"/>
      <c r="EZJ155" s="14"/>
      <c r="EZK155" s="14"/>
      <c r="EZL155" s="14"/>
      <c r="EZM155" s="14"/>
      <c r="EZN155" s="14"/>
      <c r="EZO155" s="14"/>
      <c r="EZP155" s="14"/>
      <c r="EZQ155" s="14"/>
      <c r="EZR155" s="14"/>
      <c r="EZS155" s="14"/>
      <c r="EZT155" s="14"/>
      <c r="EZU155" s="14"/>
      <c r="EZV155" s="14"/>
      <c r="EZW155" s="14"/>
      <c r="EZX155" s="14"/>
      <c r="EZY155" s="14"/>
      <c r="EZZ155" s="14"/>
      <c r="FAA155" s="14"/>
      <c r="FAB155" s="14"/>
      <c r="FAC155" s="14"/>
      <c r="FAD155" s="14"/>
      <c r="FAE155" s="14"/>
      <c r="FAF155" s="14"/>
      <c r="FAG155" s="14"/>
      <c r="FAH155" s="14"/>
      <c r="FAI155" s="14"/>
      <c r="FAJ155" s="14"/>
      <c r="FAK155" s="14"/>
      <c r="FAL155" s="14"/>
      <c r="FAM155" s="14"/>
      <c r="FAN155" s="14"/>
      <c r="FAO155" s="14"/>
      <c r="FAP155" s="14"/>
      <c r="FAQ155" s="14"/>
      <c r="FAR155" s="14"/>
      <c r="FAS155" s="14"/>
      <c r="FAT155" s="14"/>
      <c r="FAU155" s="14"/>
      <c r="FAV155" s="14"/>
      <c r="FAW155" s="14"/>
      <c r="FAX155" s="14"/>
      <c r="FAY155" s="14"/>
      <c r="FAZ155" s="14"/>
      <c r="FBA155" s="14"/>
      <c r="FBB155" s="14"/>
      <c r="FBC155" s="14"/>
      <c r="FBD155" s="14"/>
      <c r="FBE155" s="14"/>
      <c r="FBF155" s="14"/>
      <c r="FBG155" s="14"/>
      <c r="FBH155" s="14"/>
      <c r="FBI155" s="14"/>
      <c r="FBJ155" s="14"/>
      <c r="FBK155" s="14"/>
      <c r="FBL155" s="14"/>
      <c r="FBM155" s="14"/>
      <c r="FBN155" s="14"/>
      <c r="FBO155" s="14"/>
      <c r="FBP155" s="14"/>
      <c r="FBQ155" s="14"/>
      <c r="FBR155" s="14"/>
      <c r="FBS155" s="14"/>
      <c r="FBT155" s="14"/>
      <c r="FBU155" s="14"/>
      <c r="FBV155" s="14"/>
      <c r="FBW155" s="14"/>
      <c r="FBX155" s="14"/>
      <c r="FBY155" s="14"/>
      <c r="FBZ155" s="14"/>
      <c r="FCA155" s="14"/>
      <c r="FCB155" s="14"/>
      <c r="FCC155" s="14"/>
      <c r="FCD155" s="14"/>
      <c r="FCE155" s="14"/>
      <c r="FCF155" s="14"/>
      <c r="FCG155" s="14"/>
      <c r="FCH155" s="14"/>
      <c r="FCI155" s="14"/>
      <c r="FCJ155" s="14"/>
      <c r="FCK155" s="14"/>
      <c r="FCL155" s="14"/>
      <c r="FCM155" s="14"/>
      <c r="FCN155" s="14"/>
      <c r="FCO155" s="14"/>
      <c r="FCP155" s="14"/>
      <c r="FCQ155" s="14"/>
      <c r="FCR155" s="14"/>
      <c r="FCS155" s="14"/>
      <c r="FCT155" s="14"/>
      <c r="FCU155" s="14"/>
      <c r="FCV155" s="14"/>
      <c r="FCW155" s="14"/>
      <c r="FCX155" s="14"/>
      <c r="FCY155" s="14"/>
      <c r="FCZ155" s="14"/>
      <c r="FDA155" s="14"/>
      <c r="FDB155" s="14"/>
      <c r="FDC155" s="14"/>
      <c r="FDD155" s="14"/>
      <c r="FDE155" s="14"/>
      <c r="FDF155" s="14"/>
      <c r="FDG155" s="14"/>
      <c r="FDH155" s="14"/>
      <c r="FDI155" s="14"/>
      <c r="FDJ155" s="14"/>
      <c r="FDK155" s="14"/>
      <c r="FDL155" s="14"/>
      <c r="FDM155" s="14"/>
      <c r="FDN155" s="14"/>
      <c r="FDO155" s="14"/>
      <c r="FDP155" s="14"/>
      <c r="FDQ155" s="14"/>
      <c r="FDR155" s="14"/>
      <c r="FDS155" s="14"/>
      <c r="FDT155" s="14"/>
      <c r="FDU155" s="14"/>
      <c r="FDV155" s="14"/>
      <c r="FDW155" s="14"/>
      <c r="FDX155" s="14"/>
      <c r="FDY155" s="14"/>
      <c r="FDZ155" s="14"/>
      <c r="FEA155" s="14"/>
      <c r="FEB155" s="14"/>
      <c r="FEC155" s="14"/>
      <c r="FED155" s="14"/>
      <c r="FEE155" s="14"/>
      <c r="FEF155" s="14"/>
      <c r="FEG155" s="14"/>
      <c r="FEH155" s="14"/>
      <c r="FEI155" s="14"/>
      <c r="FEJ155" s="14"/>
      <c r="FEK155" s="14"/>
      <c r="FEL155" s="14"/>
      <c r="FEM155" s="14"/>
      <c r="FEN155" s="14"/>
      <c r="FEO155" s="14"/>
      <c r="FEP155" s="14"/>
      <c r="FEQ155" s="14"/>
      <c r="FER155" s="14"/>
      <c r="FES155" s="14"/>
      <c r="FET155" s="14"/>
      <c r="FEU155" s="14"/>
      <c r="FEV155" s="14"/>
      <c r="FEW155" s="14"/>
      <c r="FEX155" s="14"/>
      <c r="FEY155" s="14"/>
      <c r="FEZ155" s="14"/>
      <c r="FFA155" s="14"/>
      <c r="FFB155" s="14"/>
      <c r="FFC155" s="14"/>
      <c r="FFD155" s="14"/>
      <c r="FFE155" s="14"/>
      <c r="FFF155" s="14"/>
      <c r="FFG155" s="14"/>
      <c r="FFH155" s="14"/>
      <c r="FFI155" s="14"/>
      <c r="FFJ155" s="14"/>
      <c r="FFK155" s="14"/>
      <c r="FFL155" s="14"/>
      <c r="FFM155" s="14"/>
      <c r="FFN155" s="14"/>
      <c r="FFO155" s="14"/>
      <c r="FFP155" s="14"/>
      <c r="FFQ155" s="14"/>
      <c r="FFR155" s="14"/>
      <c r="FFS155" s="14"/>
      <c r="FFT155" s="14"/>
      <c r="FFU155" s="14"/>
      <c r="FFV155" s="14"/>
      <c r="FFW155" s="14"/>
      <c r="FFX155" s="14"/>
      <c r="FFY155" s="14"/>
      <c r="FFZ155" s="14"/>
      <c r="FGA155" s="14"/>
      <c r="FGB155" s="14"/>
      <c r="FGC155" s="14"/>
      <c r="FGD155" s="14"/>
      <c r="FGE155" s="14"/>
      <c r="FGF155" s="14"/>
      <c r="FGG155" s="14"/>
      <c r="FGH155" s="14"/>
      <c r="FGI155" s="14"/>
      <c r="FGJ155" s="14"/>
      <c r="FGK155" s="14"/>
      <c r="FGL155" s="14"/>
      <c r="FGM155" s="14"/>
      <c r="FGN155" s="14"/>
      <c r="FGO155" s="14"/>
      <c r="FGP155" s="14"/>
      <c r="FGQ155" s="14"/>
      <c r="FGR155" s="14"/>
      <c r="FGS155" s="14"/>
      <c r="FGT155" s="14"/>
      <c r="FGU155" s="14"/>
      <c r="FGV155" s="14"/>
      <c r="FGW155" s="14"/>
      <c r="FGX155" s="14"/>
      <c r="FGY155" s="14"/>
      <c r="FGZ155" s="14"/>
      <c r="FHA155" s="14"/>
      <c r="FHB155" s="14"/>
      <c r="FHC155" s="14"/>
      <c r="FHD155" s="14"/>
      <c r="FHE155" s="14"/>
      <c r="FHF155" s="14"/>
      <c r="FHG155" s="14"/>
      <c r="FHH155" s="14"/>
      <c r="FHI155" s="14"/>
      <c r="FHJ155" s="14"/>
      <c r="FHK155" s="14"/>
      <c r="FHL155" s="14"/>
      <c r="FHM155" s="14"/>
      <c r="FHN155" s="14"/>
      <c r="FHO155" s="14"/>
      <c r="FHP155" s="14"/>
      <c r="FHQ155" s="14"/>
      <c r="FHR155" s="14"/>
      <c r="FHS155" s="14"/>
      <c r="FHT155" s="14"/>
      <c r="FHU155" s="14"/>
      <c r="FHV155" s="14"/>
      <c r="FHW155" s="14"/>
      <c r="FHX155" s="14"/>
      <c r="FHY155" s="14"/>
      <c r="FHZ155" s="14"/>
      <c r="FIA155" s="14"/>
      <c r="FIB155" s="14"/>
      <c r="FIC155" s="14"/>
      <c r="FID155" s="14"/>
      <c r="FIE155" s="14"/>
      <c r="FIF155" s="14"/>
      <c r="FIG155" s="14"/>
      <c r="FIH155" s="14"/>
      <c r="FII155" s="14"/>
      <c r="FIJ155" s="14"/>
      <c r="FIK155" s="14"/>
      <c r="FIL155" s="14"/>
      <c r="FIM155" s="14"/>
      <c r="FIN155" s="14"/>
      <c r="FIO155" s="14"/>
      <c r="FIP155" s="14"/>
      <c r="FIQ155" s="14"/>
      <c r="FIR155" s="14"/>
      <c r="FIS155" s="14"/>
      <c r="FIT155" s="14"/>
      <c r="FIU155" s="14"/>
      <c r="FIV155" s="14"/>
      <c r="FIW155" s="14"/>
      <c r="FIX155" s="14"/>
      <c r="FIY155" s="14"/>
      <c r="FIZ155" s="14"/>
      <c r="FJA155" s="14"/>
      <c r="FJB155" s="14"/>
      <c r="FJC155" s="14"/>
      <c r="FJD155" s="14"/>
      <c r="FJE155" s="14"/>
      <c r="FJF155" s="14"/>
      <c r="FJG155" s="14"/>
      <c r="FJH155" s="14"/>
      <c r="FJI155" s="14"/>
      <c r="FJJ155" s="14"/>
      <c r="FJK155" s="14"/>
      <c r="FJL155" s="14"/>
      <c r="FJM155" s="14"/>
      <c r="FJN155" s="14"/>
      <c r="FJO155" s="14"/>
      <c r="FJP155" s="14"/>
      <c r="FJQ155" s="14"/>
      <c r="FJR155" s="14"/>
      <c r="FJS155" s="14"/>
      <c r="FJT155" s="14"/>
      <c r="FJU155" s="14"/>
      <c r="FJV155" s="14"/>
      <c r="FJW155" s="14"/>
      <c r="FJX155" s="14"/>
      <c r="FJY155" s="14"/>
      <c r="FJZ155" s="14"/>
      <c r="FKA155" s="14"/>
      <c r="FKB155" s="14"/>
      <c r="FKC155" s="14"/>
      <c r="FKD155" s="14"/>
      <c r="FKE155" s="14"/>
      <c r="FKF155" s="14"/>
      <c r="FKG155" s="14"/>
      <c r="FKH155" s="14"/>
      <c r="FKI155" s="14"/>
      <c r="FKJ155" s="14"/>
      <c r="FKK155" s="14"/>
      <c r="FKL155" s="14"/>
      <c r="FKM155" s="14"/>
      <c r="FKN155" s="14"/>
      <c r="FKO155" s="14"/>
      <c r="FKP155" s="14"/>
      <c r="FKQ155" s="14"/>
      <c r="FKR155" s="14"/>
      <c r="FKS155" s="14"/>
      <c r="FKT155" s="14"/>
      <c r="FKU155" s="14"/>
      <c r="FKV155" s="14"/>
      <c r="FKW155" s="14"/>
      <c r="FKX155" s="14"/>
      <c r="FKY155" s="14"/>
      <c r="FKZ155" s="14"/>
      <c r="FLA155" s="14"/>
      <c r="FLB155" s="14"/>
      <c r="FLC155" s="14"/>
      <c r="FLD155" s="14"/>
      <c r="FLE155" s="14"/>
      <c r="FLF155" s="14"/>
      <c r="FLG155" s="14"/>
      <c r="FLH155" s="14"/>
      <c r="FLI155" s="14"/>
      <c r="FLJ155" s="14"/>
      <c r="FLK155" s="14"/>
      <c r="FLL155" s="14"/>
      <c r="FLM155" s="14"/>
      <c r="FLN155" s="14"/>
      <c r="FLO155" s="14"/>
      <c r="FLP155" s="14"/>
      <c r="FLQ155" s="14"/>
      <c r="FLR155" s="14"/>
      <c r="FLS155" s="14"/>
      <c r="FLT155" s="14"/>
      <c r="FLU155" s="14"/>
      <c r="FLV155" s="14"/>
      <c r="FLW155" s="14"/>
      <c r="FLX155" s="14"/>
      <c r="FLY155" s="14"/>
      <c r="FLZ155" s="14"/>
      <c r="FMA155" s="14"/>
      <c r="FMB155" s="14"/>
      <c r="FMC155" s="14"/>
      <c r="FMD155" s="14"/>
      <c r="FME155" s="14"/>
      <c r="FMF155" s="14"/>
      <c r="FMG155" s="14"/>
      <c r="FMH155" s="14"/>
      <c r="FMI155" s="14"/>
      <c r="FMJ155" s="14"/>
      <c r="FMK155" s="14"/>
      <c r="FML155" s="14"/>
      <c r="FMM155" s="14"/>
      <c r="FMN155" s="14"/>
      <c r="FMO155" s="14"/>
      <c r="FMP155" s="14"/>
      <c r="FMQ155" s="14"/>
      <c r="FMR155" s="14"/>
      <c r="FMS155" s="14"/>
      <c r="FMT155" s="14"/>
      <c r="FMU155" s="14"/>
      <c r="FMV155" s="14"/>
      <c r="FMW155" s="14"/>
      <c r="FMX155" s="14"/>
      <c r="FMY155" s="14"/>
      <c r="FMZ155" s="14"/>
      <c r="FNA155" s="14"/>
      <c r="FNB155" s="14"/>
      <c r="FNC155" s="14"/>
      <c r="FND155" s="14"/>
      <c r="FNE155" s="14"/>
      <c r="FNF155" s="14"/>
      <c r="FNG155" s="14"/>
      <c r="FNH155" s="14"/>
      <c r="FNI155" s="14"/>
      <c r="FNJ155" s="14"/>
      <c r="FNK155" s="14"/>
      <c r="FNL155" s="14"/>
      <c r="FNM155" s="14"/>
      <c r="FNN155" s="14"/>
      <c r="FNO155" s="14"/>
      <c r="FNP155" s="14"/>
      <c r="FNQ155" s="14"/>
      <c r="FNR155" s="14"/>
      <c r="FNS155" s="14"/>
      <c r="FNT155" s="14"/>
      <c r="FNU155" s="14"/>
      <c r="FNV155" s="14"/>
      <c r="FNW155" s="14"/>
      <c r="FNX155" s="14"/>
      <c r="FNY155" s="14"/>
      <c r="FNZ155" s="14"/>
      <c r="FOA155" s="14"/>
      <c r="FOB155" s="14"/>
      <c r="FOC155" s="14"/>
      <c r="FOD155" s="14"/>
      <c r="FOE155" s="14"/>
      <c r="FOF155" s="14"/>
      <c r="FOG155" s="14"/>
      <c r="FOH155" s="14"/>
      <c r="FOI155" s="14"/>
      <c r="FOJ155" s="14"/>
      <c r="FOK155" s="14"/>
      <c r="FOL155" s="14"/>
      <c r="FOM155" s="14"/>
      <c r="FON155" s="14"/>
      <c r="FOO155" s="14"/>
      <c r="FOP155" s="14"/>
      <c r="FOQ155" s="14"/>
      <c r="FOR155" s="14"/>
      <c r="FOS155" s="14"/>
      <c r="FOT155" s="14"/>
      <c r="FOU155" s="14"/>
      <c r="FOV155" s="14"/>
      <c r="FOW155" s="14"/>
      <c r="FOX155" s="14"/>
      <c r="FOY155" s="14"/>
      <c r="FOZ155" s="14"/>
      <c r="FPA155" s="14"/>
      <c r="FPB155" s="14"/>
      <c r="FPC155" s="14"/>
      <c r="FPD155" s="14"/>
      <c r="FPE155" s="14"/>
      <c r="FPF155" s="14"/>
      <c r="FPG155" s="14"/>
      <c r="FPH155" s="14"/>
      <c r="FPI155" s="14"/>
      <c r="FPJ155" s="14"/>
      <c r="FPK155" s="14"/>
      <c r="FPL155" s="14"/>
      <c r="FPM155" s="14"/>
      <c r="FPN155" s="14"/>
      <c r="FPO155" s="14"/>
      <c r="FPP155" s="14"/>
      <c r="FPQ155" s="14"/>
      <c r="FPR155" s="14"/>
      <c r="FPS155" s="14"/>
      <c r="FPT155" s="14"/>
      <c r="FPU155" s="14"/>
      <c r="FPV155" s="14"/>
      <c r="FPW155" s="14"/>
      <c r="FPX155" s="14"/>
      <c r="FPY155" s="14"/>
      <c r="FPZ155" s="14"/>
      <c r="FQA155" s="14"/>
      <c r="FQB155" s="14"/>
      <c r="FQC155" s="14"/>
      <c r="FQD155" s="14"/>
      <c r="FQE155" s="14"/>
      <c r="FQF155" s="14"/>
      <c r="FQG155" s="14"/>
      <c r="FQH155" s="14"/>
      <c r="FQI155" s="14"/>
      <c r="FQJ155" s="14"/>
      <c r="FQK155" s="14"/>
      <c r="FQL155" s="14"/>
      <c r="FQM155" s="14"/>
      <c r="FQN155" s="14"/>
      <c r="FQO155" s="14"/>
      <c r="FQP155" s="14"/>
      <c r="FQQ155" s="14"/>
      <c r="FQR155" s="14"/>
      <c r="FQS155" s="14"/>
      <c r="FQT155" s="14"/>
      <c r="FQU155" s="14"/>
      <c r="FQV155" s="14"/>
      <c r="FQW155" s="14"/>
      <c r="FQX155" s="14"/>
      <c r="FQY155" s="14"/>
      <c r="FQZ155" s="14"/>
      <c r="FRA155" s="14"/>
      <c r="FRB155" s="14"/>
      <c r="FRC155" s="14"/>
      <c r="FRD155" s="14"/>
      <c r="FRE155" s="14"/>
      <c r="FRF155" s="14"/>
      <c r="FRG155" s="14"/>
      <c r="FRH155" s="14"/>
      <c r="FRI155" s="14"/>
      <c r="FRJ155" s="14"/>
      <c r="FRK155" s="14"/>
      <c r="FRL155" s="14"/>
      <c r="FRM155" s="14"/>
      <c r="FRN155" s="14"/>
      <c r="FRO155" s="14"/>
      <c r="FRP155" s="14"/>
      <c r="FRQ155" s="14"/>
      <c r="FRR155" s="14"/>
      <c r="FRS155" s="14"/>
      <c r="FRT155" s="14"/>
      <c r="FRU155" s="14"/>
      <c r="FRV155" s="14"/>
      <c r="FRW155" s="14"/>
      <c r="FRX155" s="14"/>
      <c r="FRY155" s="14"/>
      <c r="FRZ155" s="14"/>
      <c r="FSA155" s="14"/>
      <c r="FSB155" s="14"/>
      <c r="FSC155" s="14"/>
      <c r="FSD155" s="14"/>
      <c r="FSE155" s="14"/>
      <c r="FSF155" s="14"/>
      <c r="FSG155" s="14"/>
      <c r="FSH155" s="14"/>
      <c r="FSI155" s="14"/>
      <c r="FSJ155" s="14"/>
      <c r="FSK155" s="14"/>
      <c r="FSL155" s="14"/>
      <c r="FSM155" s="14"/>
      <c r="FSN155" s="14"/>
      <c r="FSO155" s="14"/>
      <c r="FSP155" s="14"/>
      <c r="FSQ155" s="14"/>
      <c r="FSR155" s="14"/>
      <c r="FSS155" s="14"/>
      <c r="FST155" s="14"/>
      <c r="FSU155" s="14"/>
      <c r="FSV155" s="14"/>
      <c r="FSW155" s="14"/>
      <c r="FSX155" s="14"/>
      <c r="FSY155" s="14"/>
      <c r="FSZ155" s="14"/>
      <c r="FTA155" s="14"/>
      <c r="FTB155" s="14"/>
      <c r="FTC155" s="14"/>
      <c r="FTD155" s="14"/>
      <c r="FTE155" s="14"/>
      <c r="FTF155" s="14"/>
      <c r="FTG155" s="14"/>
      <c r="FTH155" s="14"/>
      <c r="FTI155" s="14"/>
      <c r="FTJ155" s="14"/>
      <c r="FTK155" s="14"/>
      <c r="FTL155" s="14"/>
      <c r="FTM155" s="14"/>
      <c r="FTN155" s="14"/>
      <c r="FTO155" s="14"/>
      <c r="FTP155" s="14"/>
      <c r="FTQ155" s="14"/>
      <c r="FTR155" s="14"/>
      <c r="FTS155" s="14"/>
      <c r="FTT155" s="14"/>
      <c r="FTU155" s="14"/>
      <c r="FTV155" s="14"/>
      <c r="FTW155" s="14"/>
      <c r="FTX155" s="14"/>
      <c r="FTY155" s="14"/>
      <c r="FTZ155" s="14"/>
      <c r="FUA155" s="14"/>
      <c r="FUB155" s="14"/>
      <c r="FUC155" s="14"/>
      <c r="FUD155" s="14"/>
      <c r="FUE155" s="14"/>
      <c r="FUF155" s="14"/>
      <c r="FUG155" s="14"/>
      <c r="FUH155" s="14"/>
      <c r="FUI155" s="14"/>
      <c r="FUJ155" s="14"/>
      <c r="FUK155" s="14"/>
      <c r="FUL155" s="14"/>
      <c r="FUM155" s="14"/>
      <c r="FUN155" s="14"/>
      <c r="FUO155" s="14"/>
      <c r="FUP155" s="14"/>
      <c r="FUQ155" s="14"/>
      <c r="FUR155" s="14"/>
      <c r="FUS155" s="14"/>
      <c r="FUT155" s="14"/>
      <c r="FUU155" s="14"/>
      <c r="FUV155" s="14"/>
      <c r="FUW155" s="14"/>
      <c r="FUX155" s="14"/>
      <c r="FUY155" s="14"/>
      <c r="FUZ155" s="14"/>
      <c r="FVA155" s="14"/>
      <c r="FVB155" s="14"/>
      <c r="FVC155" s="14"/>
      <c r="FVD155" s="14"/>
      <c r="FVE155" s="14"/>
      <c r="FVF155" s="14"/>
      <c r="FVG155" s="14"/>
      <c r="FVH155" s="14"/>
      <c r="FVI155" s="14"/>
      <c r="FVJ155" s="14"/>
      <c r="FVK155" s="14"/>
      <c r="FVL155" s="14"/>
      <c r="FVM155" s="14"/>
      <c r="FVN155" s="14"/>
      <c r="FVO155" s="14"/>
      <c r="FVP155" s="14"/>
      <c r="FVQ155" s="14"/>
      <c r="FVR155" s="14"/>
      <c r="FVS155" s="14"/>
      <c r="FVT155" s="14"/>
      <c r="FVU155" s="14"/>
      <c r="FVV155" s="14"/>
      <c r="FVW155" s="14"/>
      <c r="FVX155" s="14"/>
      <c r="FVY155" s="14"/>
      <c r="FVZ155" s="14"/>
      <c r="FWA155" s="14"/>
      <c r="FWB155" s="14"/>
      <c r="FWC155" s="14"/>
      <c r="FWD155" s="14"/>
      <c r="FWE155" s="14"/>
      <c r="FWF155" s="14"/>
      <c r="FWG155" s="14"/>
      <c r="FWH155" s="14"/>
      <c r="FWI155" s="14"/>
      <c r="FWJ155" s="14"/>
      <c r="FWK155" s="14"/>
      <c r="FWL155" s="14"/>
      <c r="FWM155" s="14"/>
      <c r="FWN155" s="14"/>
      <c r="FWO155" s="14"/>
      <c r="FWP155" s="14"/>
      <c r="FWQ155" s="14"/>
      <c r="FWR155" s="14"/>
      <c r="FWS155" s="14"/>
      <c r="FWT155" s="14"/>
      <c r="FWU155" s="14"/>
      <c r="FWV155" s="14"/>
      <c r="FWW155" s="14"/>
      <c r="FWX155" s="14"/>
      <c r="FWY155" s="14"/>
      <c r="FWZ155" s="14"/>
      <c r="FXA155" s="14"/>
      <c r="FXB155" s="14"/>
      <c r="FXC155" s="14"/>
      <c r="FXD155" s="14"/>
      <c r="FXE155" s="14"/>
      <c r="FXF155" s="14"/>
      <c r="FXG155" s="14"/>
      <c r="FXH155" s="14"/>
      <c r="FXI155" s="14"/>
      <c r="FXJ155" s="14"/>
      <c r="FXK155" s="14"/>
      <c r="FXL155" s="14"/>
      <c r="FXM155" s="14"/>
      <c r="FXN155" s="14"/>
      <c r="FXO155" s="14"/>
      <c r="FXP155" s="14"/>
      <c r="FXQ155" s="14"/>
      <c r="FXR155" s="14"/>
      <c r="FXS155" s="14"/>
      <c r="FXT155" s="14"/>
      <c r="FXU155" s="14"/>
      <c r="FXV155" s="14"/>
      <c r="FXW155" s="14"/>
      <c r="FXX155" s="14"/>
      <c r="FXY155" s="14"/>
      <c r="FXZ155" s="14"/>
      <c r="FYA155" s="14"/>
      <c r="FYB155" s="14"/>
      <c r="FYC155" s="14"/>
      <c r="FYD155" s="14"/>
      <c r="FYE155" s="14"/>
      <c r="FYF155" s="14"/>
      <c r="FYG155" s="14"/>
      <c r="FYH155" s="14"/>
      <c r="FYI155" s="14"/>
      <c r="FYJ155" s="14"/>
      <c r="FYK155" s="14"/>
      <c r="FYL155" s="14"/>
      <c r="FYM155" s="14"/>
      <c r="FYN155" s="14"/>
      <c r="FYO155" s="14"/>
      <c r="FYP155" s="14"/>
      <c r="FYQ155" s="14"/>
      <c r="FYR155" s="14"/>
      <c r="FYS155" s="14"/>
      <c r="FYT155" s="14"/>
      <c r="FYU155" s="14"/>
      <c r="FYV155" s="14"/>
      <c r="FYW155" s="14"/>
      <c r="FYX155" s="14"/>
      <c r="FYY155" s="14"/>
      <c r="FYZ155" s="14"/>
      <c r="FZA155" s="14"/>
      <c r="FZB155" s="14"/>
      <c r="FZC155" s="14"/>
      <c r="FZD155" s="14"/>
      <c r="FZE155" s="14"/>
      <c r="FZF155" s="14"/>
      <c r="FZG155" s="14"/>
      <c r="FZH155" s="14"/>
      <c r="FZI155" s="14"/>
      <c r="FZJ155" s="14"/>
      <c r="FZK155" s="14"/>
      <c r="FZL155" s="14"/>
      <c r="FZM155" s="14"/>
      <c r="FZN155" s="14"/>
      <c r="FZO155" s="14"/>
      <c r="FZP155" s="14"/>
      <c r="FZQ155" s="14"/>
      <c r="FZR155" s="14"/>
      <c r="FZS155" s="14"/>
      <c r="FZT155" s="14"/>
      <c r="FZU155" s="14"/>
      <c r="FZV155" s="14"/>
      <c r="FZW155" s="14"/>
      <c r="FZX155" s="14"/>
      <c r="FZY155" s="14"/>
      <c r="FZZ155" s="14"/>
      <c r="GAA155" s="14"/>
      <c r="GAB155" s="14"/>
      <c r="GAC155" s="14"/>
      <c r="GAD155" s="14"/>
      <c r="GAE155" s="14"/>
      <c r="GAF155" s="14"/>
      <c r="GAG155" s="14"/>
      <c r="GAH155" s="14"/>
      <c r="GAI155" s="14"/>
      <c r="GAJ155" s="14"/>
      <c r="GAK155" s="14"/>
      <c r="GAL155" s="14"/>
      <c r="GAM155" s="14"/>
      <c r="GAN155" s="14"/>
      <c r="GAO155" s="14"/>
      <c r="GAP155" s="14"/>
      <c r="GAQ155" s="14"/>
      <c r="GAR155" s="14"/>
      <c r="GAS155" s="14"/>
      <c r="GAT155" s="14"/>
      <c r="GAU155" s="14"/>
      <c r="GAV155" s="14"/>
      <c r="GAW155" s="14"/>
      <c r="GAX155" s="14"/>
      <c r="GAY155" s="14"/>
      <c r="GAZ155" s="14"/>
      <c r="GBA155" s="14"/>
      <c r="GBB155" s="14"/>
      <c r="GBC155" s="14"/>
      <c r="GBD155" s="14"/>
      <c r="GBE155" s="14"/>
      <c r="GBF155" s="14"/>
      <c r="GBG155" s="14"/>
      <c r="GBH155" s="14"/>
      <c r="GBI155" s="14"/>
      <c r="GBJ155" s="14"/>
      <c r="GBK155" s="14"/>
      <c r="GBL155" s="14"/>
      <c r="GBM155" s="14"/>
      <c r="GBN155" s="14"/>
      <c r="GBO155" s="14"/>
      <c r="GBP155" s="14"/>
      <c r="GBQ155" s="14"/>
      <c r="GBR155" s="14"/>
      <c r="GBS155" s="14"/>
      <c r="GBT155" s="14"/>
      <c r="GBU155" s="14"/>
      <c r="GBV155" s="14"/>
      <c r="GBW155" s="14"/>
      <c r="GBX155" s="14"/>
      <c r="GBY155" s="14"/>
      <c r="GBZ155" s="14"/>
      <c r="GCA155" s="14"/>
      <c r="GCB155" s="14"/>
      <c r="GCC155" s="14"/>
      <c r="GCD155" s="14"/>
      <c r="GCE155" s="14"/>
      <c r="GCF155" s="14"/>
      <c r="GCG155" s="14"/>
      <c r="GCH155" s="14"/>
      <c r="GCI155" s="14"/>
      <c r="GCJ155" s="14"/>
      <c r="GCK155" s="14"/>
      <c r="GCL155" s="14"/>
      <c r="GCM155" s="14"/>
      <c r="GCN155" s="14"/>
      <c r="GCO155" s="14"/>
      <c r="GCP155" s="14"/>
      <c r="GCQ155" s="14"/>
      <c r="GCR155" s="14"/>
      <c r="GCS155" s="14"/>
      <c r="GCT155" s="14"/>
      <c r="GCU155" s="14"/>
      <c r="GCV155" s="14"/>
      <c r="GCW155" s="14"/>
      <c r="GCX155" s="14"/>
      <c r="GCY155" s="14"/>
      <c r="GCZ155" s="14"/>
      <c r="GDA155" s="14"/>
      <c r="GDB155" s="14"/>
      <c r="GDC155" s="14"/>
      <c r="GDD155" s="14"/>
      <c r="GDE155" s="14"/>
      <c r="GDF155" s="14"/>
      <c r="GDG155" s="14"/>
      <c r="GDH155" s="14"/>
      <c r="GDI155" s="14"/>
      <c r="GDJ155" s="14"/>
      <c r="GDK155" s="14"/>
      <c r="GDL155" s="14"/>
      <c r="GDM155" s="14"/>
      <c r="GDN155" s="14"/>
      <c r="GDO155" s="14"/>
      <c r="GDP155" s="14"/>
      <c r="GDQ155" s="14"/>
      <c r="GDR155" s="14"/>
      <c r="GDS155" s="14"/>
      <c r="GDT155" s="14"/>
      <c r="GDU155" s="14"/>
      <c r="GDV155" s="14"/>
      <c r="GDW155" s="14"/>
      <c r="GDX155" s="14"/>
      <c r="GDY155" s="14"/>
      <c r="GDZ155" s="14"/>
      <c r="GEA155" s="14"/>
      <c r="GEB155" s="14"/>
      <c r="GEC155" s="14"/>
      <c r="GED155" s="14"/>
      <c r="GEE155" s="14"/>
      <c r="GEF155" s="14"/>
      <c r="GEG155" s="14"/>
      <c r="GEH155" s="14"/>
      <c r="GEI155" s="14"/>
      <c r="GEJ155" s="14"/>
      <c r="GEK155" s="14"/>
      <c r="GEL155" s="14"/>
      <c r="GEM155" s="14"/>
      <c r="GEN155" s="14"/>
      <c r="GEO155" s="14"/>
      <c r="GEP155" s="14"/>
      <c r="GEQ155" s="14"/>
      <c r="GER155" s="14"/>
      <c r="GES155" s="14"/>
      <c r="GET155" s="14"/>
      <c r="GEU155" s="14"/>
      <c r="GEV155" s="14"/>
      <c r="GEW155" s="14"/>
      <c r="GEX155" s="14"/>
      <c r="GEY155" s="14"/>
      <c r="GEZ155" s="14"/>
      <c r="GFA155" s="14"/>
      <c r="GFB155" s="14"/>
      <c r="GFC155" s="14"/>
      <c r="GFD155" s="14"/>
      <c r="GFE155" s="14"/>
      <c r="GFF155" s="14"/>
      <c r="GFG155" s="14"/>
      <c r="GFH155" s="14"/>
      <c r="GFI155" s="14"/>
      <c r="GFJ155" s="14"/>
      <c r="GFK155" s="14"/>
      <c r="GFL155" s="14"/>
      <c r="GFM155" s="14"/>
      <c r="GFN155" s="14"/>
      <c r="GFO155" s="14"/>
      <c r="GFP155" s="14"/>
      <c r="GFQ155" s="14"/>
      <c r="GFR155" s="14"/>
      <c r="GFS155" s="14"/>
      <c r="GFT155" s="14"/>
      <c r="GFU155" s="14"/>
      <c r="GFV155" s="14"/>
      <c r="GFW155" s="14"/>
      <c r="GFX155" s="14"/>
      <c r="GFY155" s="14"/>
      <c r="GFZ155" s="14"/>
      <c r="GGA155" s="14"/>
      <c r="GGB155" s="14"/>
      <c r="GGC155" s="14"/>
      <c r="GGD155" s="14"/>
      <c r="GGE155" s="14"/>
      <c r="GGF155" s="14"/>
      <c r="GGG155" s="14"/>
      <c r="GGH155" s="14"/>
      <c r="GGI155" s="14"/>
      <c r="GGJ155" s="14"/>
      <c r="GGK155" s="14"/>
      <c r="GGL155" s="14"/>
      <c r="GGM155" s="14"/>
      <c r="GGN155" s="14"/>
      <c r="GGO155" s="14"/>
      <c r="GGP155" s="14"/>
      <c r="GGQ155" s="14"/>
      <c r="GGR155" s="14"/>
      <c r="GGS155" s="14"/>
      <c r="GGT155" s="14"/>
      <c r="GGU155" s="14"/>
      <c r="GGV155" s="14"/>
      <c r="GGW155" s="14"/>
      <c r="GGX155" s="14"/>
      <c r="GGY155" s="14"/>
      <c r="GGZ155" s="14"/>
      <c r="GHA155" s="14"/>
      <c r="GHB155" s="14"/>
      <c r="GHC155" s="14"/>
      <c r="GHD155" s="14"/>
      <c r="GHE155" s="14"/>
      <c r="GHF155" s="14"/>
      <c r="GHG155" s="14"/>
      <c r="GHH155" s="14"/>
      <c r="GHI155" s="14"/>
      <c r="GHJ155" s="14"/>
      <c r="GHK155" s="14"/>
      <c r="GHL155" s="14"/>
      <c r="GHM155" s="14"/>
      <c r="GHN155" s="14"/>
      <c r="GHO155" s="14"/>
      <c r="GHP155" s="14"/>
      <c r="GHQ155" s="14"/>
      <c r="GHR155" s="14"/>
      <c r="GHS155" s="14"/>
      <c r="GHT155" s="14"/>
      <c r="GHU155" s="14"/>
      <c r="GHV155" s="14"/>
      <c r="GHW155" s="14"/>
      <c r="GHX155" s="14"/>
      <c r="GHY155" s="14"/>
      <c r="GHZ155" s="14"/>
      <c r="GIA155" s="14"/>
      <c r="GIB155" s="14"/>
      <c r="GIC155" s="14"/>
      <c r="GID155" s="14"/>
      <c r="GIE155" s="14"/>
      <c r="GIF155" s="14"/>
      <c r="GIG155" s="14"/>
      <c r="GIH155" s="14"/>
      <c r="GII155" s="14"/>
      <c r="GIJ155" s="14"/>
      <c r="GIK155" s="14"/>
      <c r="GIL155" s="14"/>
      <c r="GIM155" s="14"/>
      <c r="GIN155" s="14"/>
      <c r="GIO155" s="14"/>
      <c r="GIP155" s="14"/>
      <c r="GIQ155" s="14"/>
      <c r="GIR155" s="14"/>
      <c r="GIS155" s="14"/>
      <c r="GIT155" s="14"/>
      <c r="GIU155" s="14"/>
      <c r="GIV155" s="14"/>
      <c r="GIW155" s="14"/>
      <c r="GIX155" s="14"/>
      <c r="GIY155" s="14"/>
      <c r="GIZ155" s="14"/>
      <c r="GJA155" s="14"/>
      <c r="GJB155" s="14"/>
      <c r="GJC155" s="14"/>
      <c r="GJD155" s="14"/>
      <c r="GJE155" s="14"/>
      <c r="GJF155" s="14"/>
      <c r="GJG155" s="14"/>
      <c r="GJH155" s="14"/>
      <c r="GJI155" s="14"/>
      <c r="GJJ155" s="14"/>
      <c r="GJK155" s="14"/>
      <c r="GJL155" s="14"/>
      <c r="GJM155" s="14"/>
      <c r="GJN155" s="14"/>
      <c r="GJO155" s="14"/>
      <c r="GJP155" s="14"/>
      <c r="GJQ155" s="14"/>
      <c r="GJR155" s="14"/>
      <c r="GJS155" s="14"/>
      <c r="GJT155" s="14"/>
      <c r="GJU155" s="14"/>
      <c r="GJV155" s="14"/>
      <c r="GJW155" s="14"/>
      <c r="GJX155" s="14"/>
      <c r="GJY155" s="14"/>
      <c r="GJZ155" s="14"/>
      <c r="GKA155" s="14"/>
      <c r="GKB155" s="14"/>
      <c r="GKC155" s="14"/>
      <c r="GKD155" s="14"/>
      <c r="GKE155" s="14"/>
      <c r="GKF155" s="14"/>
      <c r="GKG155" s="14"/>
      <c r="GKH155" s="14"/>
      <c r="GKI155" s="14"/>
      <c r="GKJ155" s="14"/>
      <c r="GKK155" s="14"/>
      <c r="GKL155" s="14"/>
      <c r="GKM155" s="14"/>
      <c r="GKN155" s="14"/>
      <c r="GKO155" s="14"/>
      <c r="GKP155" s="14"/>
      <c r="GKQ155" s="14"/>
      <c r="GKR155" s="14"/>
      <c r="GKS155" s="14"/>
      <c r="GKT155" s="14"/>
      <c r="GKU155" s="14"/>
      <c r="GKV155" s="14"/>
      <c r="GKW155" s="14"/>
      <c r="GKX155" s="14"/>
      <c r="GKY155" s="14"/>
      <c r="GKZ155" s="14"/>
      <c r="GLA155" s="14"/>
      <c r="GLB155" s="14"/>
      <c r="GLC155" s="14"/>
      <c r="GLD155" s="14"/>
      <c r="GLE155" s="14"/>
      <c r="GLF155" s="14"/>
      <c r="GLG155" s="14"/>
      <c r="GLH155" s="14"/>
      <c r="GLI155" s="14"/>
      <c r="GLJ155" s="14"/>
      <c r="GLK155" s="14"/>
      <c r="GLL155" s="14"/>
      <c r="GLM155" s="14"/>
      <c r="GLN155" s="14"/>
      <c r="GLO155" s="14"/>
      <c r="GLP155" s="14"/>
      <c r="GLQ155" s="14"/>
      <c r="GLR155" s="14"/>
      <c r="GLS155" s="14"/>
      <c r="GLT155" s="14"/>
      <c r="GLU155" s="14"/>
      <c r="GLV155" s="14"/>
      <c r="GLW155" s="14"/>
      <c r="GLX155" s="14"/>
      <c r="GLY155" s="14"/>
      <c r="GLZ155" s="14"/>
      <c r="GMA155" s="14"/>
      <c r="GMB155" s="14"/>
      <c r="GMC155" s="14"/>
      <c r="GMD155" s="14"/>
      <c r="GME155" s="14"/>
      <c r="GMF155" s="14"/>
      <c r="GMG155" s="14"/>
      <c r="GMH155" s="14"/>
      <c r="GMI155" s="14"/>
      <c r="GMJ155" s="14"/>
      <c r="GMK155" s="14"/>
      <c r="GML155" s="14"/>
      <c r="GMM155" s="14"/>
      <c r="GMN155" s="14"/>
      <c r="GMO155" s="14"/>
      <c r="GMP155" s="14"/>
      <c r="GMQ155" s="14"/>
      <c r="GMR155" s="14"/>
      <c r="GMS155" s="14"/>
      <c r="GMT155" s="14"/>
      <c r="GMU155" s="14"/>
      <c r="GMV155" s="14"/>
      <c r="GMW155" s="14"/>
      <c r="GMX155" s="14"/>
      <c r="GMY155" s="14"/>
      <c r="GMZ155" s="14"/>
      <c r="GNA155" s="14"/>
      <c r="GNB155" s="14"/>
      <c r="GNC155" s="14"/>
      <c r="GND155" s="14"/>
      <c r="GNE155" s="14"/>
      <c r="GNF155" s="14"/>
      <c r="GNG155" s="14"/>
      <c r="GNH155" s="14"/>
      <c r="GNI155" s="14"/>
      <c r="GNJ155" s="14"/>
      <c r="GNK155" s="14"/>
      <c r="GNL155" s="14"/>
      <c r="GNM155" s="14"/>
      <c r="GNN155" s="14"/>
      <c r="GNO155" s="14"/>
      <c r="GNP155" s="14"/>
      <c r="GNQ155" s="14"/>
      <c r="GNR155" s="14"/>
      <c r="GNS155" s="14"/>
      <c r="GNT155" s="14"/>
      <c r="GNU155" s="14"/>
      <c r="GNV155" s="14"/>
      <c r="GNW155" s="14"/>
      <c r="GNX155" s="14"/>
      <c r="GNY155" s="14"/>
      <c r="GNZ155" s="14"/>
      <c r="GOA155" s="14"/>
      <c r="GOB155" s="14"/>
      <c r="GOC155" s="14"/>
      <c r="GOD155" s="14"/>
      <c r="GOE155" s="14"/>
      <c r="GOF155" s="14"/>
      <c r="GOG155" s="14"/>
      <c r="GOH155" s="14"/>
      <c r="GOI155" s="14"/>
      <c r="GOJ155" s="14"/>
      <c r="GOK155" s="14"/>
      <c r="GOL155" s="14"/>
      <c r="GOM155" s="14"/>
      <c r="GON155" s="14"/>
      <c r="GOO155" s="14"/>
      <c r="GOP155" s="14"/>
      <c r="GOQ155" s="14"/>
      <c r="GOR155" s="14"/>
      <c r="GOS155" s="14"/>
      <c r="GOT155" s="14"/>
      <c r="GOU155" s="14"/>
      <c r="GOV155" s="14"/>
      <c r="GOW155" s="14"/>
      <c r="GOX155" s="14"/>
      <c r="GOY155" s="14"/>
      <c r="GOZ155" s="14"/>
      <c r="GPA155" s="14"/>
      <c r="GPB155" s="14"/>
      <c r="GPC155" s="14"/>
      <c r="GPD155" s="14"/>
      <c r="GPE155" s="14"/>
      <c r="GPF155" s="14"/>
      <c r="GPG155" s="14"/>
      <c r="GPH155" s="14"/>
      <c r="GPI155" s="14"/>
      <c r="GPJ155" s="14"/>
      <c r="GPK155" s="14"/>
      <c r="GPL155" s="14"/>
      <c r="GPM155" s="14"/>
      <c r="GPN155" s="14"/>
      <c r="GPO155" s="14"/>
      <c r="GPP155" s="14"/>
      <c r="GPQ155" s="14"/>
      <c r="GPR155" s="14"/>
      <c r="GPS155" s="14"/>
      <c r="GPT155" s="14"/>
      <c r="GPU155" s="14"/>
      <c r="GPV155" s="14"/>
      <c r="GPW155" s="14"/>
      <c r="GPX155" s="14"/>
      <c r="GPY155" s="14"/>
      <c r="GPZ155" s="14"/>
      <c r="GQA155" s="14"/>
      <c r="GQB155" s="14"/>
      <c r="GQC155" s="14"/>
      <c r="GQD155" s="14"/>
      <c r="GQE155" s="14"/>
      <c r="GQF155" s="14"/>
      <c r="GQG155" s="14"/>
      <c r="GQH155" s="14"/>
      <c r="GQI155" s="14"/>
      <c r="GQJ155" s="14"/>
      <c r="GQK155" s="14"/>
      <c r="GQL155" s="14"/>
      <c r="GQM155" s="14"/>
      <c r="GQN155" s="14"/>
      <c r="GQO155" s="14"/>
      <c r="GQP155" s="14"/>
      <c r="GQQ155" s="14"/>
      <c r="GQR155" s="14"/>
      <c r="GQS155" s="14"/>
      <c r="GQT155" s="14"/>
      <c r="GQU155" s="14"/>
      <c r="GQV155" s="14"/>
      <c r="GQW155" s="14"/>
      <c r="GQX155" s="14"/>
      <c r="GQY155" s="14"/>
      <c r="GQZ155" s="14"/>
      <c r="GRA155" s="14"/>
      <c r="GRB155" s="14"/>
      <c r="GRC155" s="14"/>
      <c r="GRD155" s="14"/>
      <c r="GRE155" s="14"/>
      <c r="GRF155" s="14"/>
      <c r="GRG155" s="14"/>
      <c r="GRH155" s="14"/>
      <c r="GRI155" s="14"/>
      <c r="GRJ155" s="14"/>
      <c r="GRK155" s="14"/>
      <c r="GRL155" s="14"/>
      <c r="GRM155" s="14"/>
      <c r="GRN155" s="14"/>
      <c r="GRO155" s="14"/>
      <c r="GRP155" s="14"/>
      <c r="GRQ155" s="14"/>
      <c r="GRR155" s="14"/>
      <c r="GRS155" s="14"/>
      <c r="GRT155" s="14"/>
      <c r="GRU155" s="14"/>
      <c r="GRV155" s="14"/>
      <c r="GRW155" s="14"/>
      <c r="GRX155" s="14"/>
      <c r="GRY155" s="14"/>
      <c r="GRZ155" s="14"/>
      <c r="GSA155" s="14"/>
      <c r="GSB155" s="14"/>
      <c r="GSC155" s="14"/>
      <c r="GSD155" s="14"/>
      <c r="GSE155" s="14"/>
      <c r="GSF155" s="14"/>
      <c r="GSG155" s="14"/>
      <c r="GSH155" s="14"/>
      <c r="GSI155" s="14"/>
      <c r="GSJ155" s="14"/>
      <c r="GSK155" s="14"/>
      <c r="GSL155" s="14"/>
      <c r="GSM155" s="14"/>
      <c r="GSN155" s="14"/>
      <c r="GSO155" s="14"/>
      <c r="GSP155" s="14"/>
      <c r="GSQ155" s="14"/>
      <c r="GSR155" s="14"/>
      <c r="GSS155" s="14"/>
      <c r="GST155" s="14"/>
      <c r="GSU155" s="14"/>
      <c r="GSV155" s="14"/>
      <c r="GSW155" s="14"/>
      <c r="GSX155" s="14"/>
      <c r="GSY155" s="14"/>
      <c r="GSZ155" s="14"/>
      <c r="GTA155" s="14"/>
      <c r="GTB155" s="14"/>
      <c r="GTC155" s="14"/>
      <c r="GTD155" s="14"/>
      <c r="GTE155" s="14"/>
      <c r="GTF155" s="14"/>
      <c r="GTG155" s="14"/>
      <c r="GTH155" s="14"/>
      <c r="GTI155" s="14"/>
      <c r="GTJ155" s="14"/>
      <c r="GTK155" s="14"/>
      <c r="GTL155" s="14"/>
      <c r="GTM155" s="14"/>
      <c r="GTN155" s="14"/>
      <c r="GTO155" s="14"/>
      <c r="GTP155" s="14"/>
      <c r="GTQ155" s="14"/>
      <c r="GTR155" s="14"/>
      <c r="GTS155" s="14"/>
      <c r="GTT155" s="14"/>
      <c r="GTU155" s="14"/>
      <c r="GTV155" s="14"/>
      <c r="GTW155" s="14"/>
      <c r="GTX155" s="14"/>
      <c r="GTY155" s="14"/>
      <c r="GTZ155" s="14"/>
      <c r="GUA155" s="14"/>
      <c r="GUB155" s="14"/>
      <c r="GUC155" s="14"/>
      <c r="GUD155" s="14"/>
      <c r="GUE155" s="14"/>
      <c r="GUF155" s="14"/>
      <c r="GUG155" s="14"/>
      <c r="GUH155" s="14"/>
      <c r="GUI155" s="14"/>
      <c r="GUJ155" s="14"/>
      <c r="GUK155" s="14"/>
      <c r="GUL155" s="14"/>
      <c r="GUM155" s="14"/>
      <c r="GUN155" s="14"/>
      <c r="GUO155" s="14"/>
      <c r="GUP155" s="14"/>
      <c r="GUQ155" s="14"/>
      <c r="GUR155" s="14"/>
      <c r="GUS155" s="14"/>
      <c r="GUT155" s="14"/>
      <c r="GUU155" s="14"/>
      <c r="GUV155" s="14"/>
      <c r="GUW155" s="14"/>
      <c r="GUX155" s="14"/>
      <c r="GUY155" s="14"/>
      <c r="GUZ155" s="14"/>
      <c r="GVA155" s="14"/>
      <c r="GVB155" s="14"/>
      <c r="GVC155" s="14"/>
      <c r="GVD155" s="14"/>
      <c r="GVE155" s="14"/>
      <c r="GVF155" s="14"/>
      <c r="GVG155" s="14"/>
      <c r="GVH155" s="14"/>
      <c r="GVI155" s="14"/>
      <c r="GVJ155" s="14"/>
      <c r="GVK155" s="14"/>
      <c r="GVL155" s="14"/>
      <c r="GVM155" s="14"/>
      <c r="GVN155" s="14"/>
      <c r="GVO155" s="14"/>
      <c r="GVP155" s="14"/>
      <c r="GVQ155" s="14"/>
      <c r="GVR155" s="14"/>
      <c r="GVS155" s="14"/>
      <c r="GVT155" s="14"/>
      <c r="GVU155" s="14"/>
      <c r="GVV155" s="14"/>
      <c r="GVW155" s="14"/>
      <c r="GVX155" s="14"/>
      <c r="GVY155" s="14"/>
      <c r="GVZ155" s="14"/>
      <c r="GWA155" s="14"/>
      <c r="GWB155" s="14"/>
      <c r="GWC155" s="14"/>
      <c r="GWD155" s="14"/>
      <c r="GWE155" s="14"/>
      <c r="GWF155" s="14"/>
      <c r="GWG155" s="14"/>
      <c r="GWH155" s="14"/>
      <c r="GWI155" s="14"/>
      <c r="GWJ155" s="14"/>
      <c r="GWK155" s="14"/>
      <c r="GWL155" s="14"/>
      <c r="GWM155" s="14"/>
      <c r="GWN155" s="14"/>
      <c r="GWO155" s="14"/>
      <c r="GWP155" s="14"/>
      <c r="GWQ155" s="14"/>
      <c r="GWR155" s="14"/>
      <c r="GWS155" s="14"/>
      <c r="GWT155" s="14"/>
      <c r="GWU155" s="14"/>
      <c r="GWV155" s="14"/>
      <c r="GWW155" s="14"/>
      <c r="GWX155" s="14"/>
      <c r="GWY155" s="14"/>
      <c r="GWZ155" s="14"/>
      <c r="GXA155" s="14"/>
      <c r="GXB155" s="14"/>
      <c r="GXC155" s="14"/>
      <c r="GXD155" s="14"/>
      <c r="GXE155" s="14"/>
      <c r="GXF155" s="14"/>
      <c r="GXG155" s="14"/>
      <c r="GXH155" s="14"/>
      <c r="GXI155" s="14"/>
      <c r="GXJ155" s="14"/>
      <c r="GXK155" s="14"/>
      <c r="GXL155" s="14"/>
      <c r="GXM155" s="14"/>
      <c r="GXN155" s="14"/>
      <c r="GXO155" s="14"/>
      <c r="GXP155" s="14"/>
      <c r="GXQ155" s="14"/>
      <c r="GXR155" s="14"/>
      <c r="GXS155" s="14"/>
      <c r="GXT155" s="14"/>
      <c r="GXU155" s="14"/>
      <c r="GXV155" s="14"/>
      <c r="GXW155" s="14"/>
      <c r="GXX155" s="14"/>
      <c r="GXY155" s="14"/>
      <c r="GXZ155" s="14"/>
      <c r="GYA155" s="14"/>
      <c r="GYB155" s="14"/>
      <c r="GYC155" s="14"/>
      <c r="GYD155" s="14"/>
      <c r="GYE155" s="14"/>
      <c r="GYF155" s="14"/>
      <c r="GYG155" s="14"/>
      <c r="GYH155" s="14"/>
      <c r="GYI155" s="14"/>
      <c r="GYJ155" s="14"/>
      <c r="GYK155" s="14"/>
      <c r="GYL155" s="14"/>
      <c r="GYM155" s="14"/>
      <c r="GYN155" s="14"/>
      <c r="GYO155" s="14"/>
      <c r="GYP155" s="14"/>
      <c r="GYQ155" s="14"/>
      <c r="GYR155" s="14"/>
      <c r="GYS155" s="14"/>
      <c r="GYT155" s="14"/>
      <c r="GYU155" s="14"/>
      <c r="GYV155" s="14"/>
      <c r="GYW155" s="14"/>
      <c r="GYX155" s="14"/>
      <c r="GYY155" s="14"/>
      <c r="GYZ155" s="14"/>
      <c r="GZA155" s="14"/>
      <c r="GZB155" s="14"/>
      <c r="GZC155" s="14"/>
      <c r="GZD155" s="14"/>
      <c r="GZE155" s="14"/>
      <c r="GZF155" s="14"/>
      <c r="GZG155" s="14"/>
      <c r="GZH155" s="14"/>
      <c r="GZI155" s="14"/>
      <c r="GZJ155" s="14"/>
      <c r="GZK155" s="14"/>
      <c r="GZL155" s="14"/>
      <c r="GZM155" s="14"/>
      <c r="GZN155" s="14"/>
      <c r="GZO155" s="14"/>
      <c r="GZP155" s="14"/>
      <c r="GZQ155" s="14"/>
      <c r="GZR155" s="14"/>
      <c r="GZS155" s="14"/>
      <c r="GZT155" s="14"/>
      <c r="GZU155" s="14"/>
      <c r="GZV155" s="14"/>
      <c r="GZW155" s="14"/>
      <c r="GZX155" s="14"/>
      <c r="GZY155" s="14"/>
      <c r="GZZ155" s="14"/>
      <c r="HAA155" s="14"/>
      <c r="HAB155" s="14"/>
      <c r="HAC155" s="14"/>
      <c r="HAD155" s="14"/>
      <c r="HAE155" s="14"/>
      <c r="HAF155" s="14"/>
      <c r="HAG155" s="14"/>
      <c r="HAH155" s="14"/>
      <c r="HAI155" s="14"/>
      <c r="HAJ155" s="14"/>
      <c r="HAK155" s="14"/>
      <c r="HAL155" s="14"/>
      <c r="HAM155" s="14"/>
      <c r="HAN155" s="14"/>
      <c r="HAO155" s="14"/>
      <c r="HAP155" s="14"/>
      <c r="HAQ155" s="14"/>
      <c r="HAR155" s="14"/>
      <c r="HAS155" s="14"/>
      <c r="HAT155" s="14"/>
      <c r="HAU155" s="14"/>
      <c r="HAV155" s="14"/>
      <c r="HAW155" s="14"/>
      <c r="HAX155" s="14"/>
      <c r="HAY155" s="14"/>
      <c r="HAZ155" s="14"/>
      <c r="HBA155" s="14"/>
      <c r="HBB155" s="14"/>
      <c r="HBC155" s="14"/>
      <c r="HBD155" s="14"/>
      <c r="HBE155" s="14"/>
      <c r="HBF155" s="14"/>
      <c r="HBG155" s="14"/>
      <c r="HBH155" s="14"/>
      <c r="HBI155" s="14"/>
      <c r="HBJ155" s="14"/>
      <c r="HBK155" s="14"/>
      <c r="HBL155" s="14"/>
      <c r="HBM155" s="14"/>
      <c r="HBN155" s="14"/>
      <c r="HBO155" s="14"/>
      <c r="HBP155" s="14"/>
      <c r="HBQ155" s="14"/>
      <c r="HBR155" s="14"/>
      <c r="HBS155" s="14"/>
      <c r="HBT155" s="14"/>
      <c r="HBU155" s="14"/>
      <c r="HBV155" s="14"/>
      <c r="HBW155" s="14"/>
      <c r="HBX155" s="14"/>
      <c r="HBY155" s="14"/>
      <c r="HBZ155" s="14"/>
      <c r="HCA155" s="14"/>
      <c r="HCB155" s="14"/>
      <c r="HCC155" s="14"/>
      <c r="HCD155" s="14"/>
      <c r="HCE155" s="14"/>
      <c r="HCF155" s="14"/>
      <c r="HCG155" s="14"/>
      <c r="HCH155" s="14"/>
      <c r="HCI155" s="14"/>
      <c r="HCJ155" s="14"/>
      <c r="HCK155" s="14"/>
      <c r="HCL155" s="14"/>
      <c r="HCM155" s="14"/>
      <c r="HCN155" s="14"/>
      <c r="HCO155" s="14"/>
      <c r="HCP155" s="14"/>
      <c r="HCQ155" s="14"/>
      <c r="HCR155" s="14"/>
      <c r="HCS155" s="14"/>
      <c r="HCT155" s="14"/>
      <c r="HCU155" s="14"/>
      <c r="HCV155" s="14"/>
      <c r="HCW155" s="14"/>
      <c r="HCX155" s="14"/>
      <c r="HCY155" s="14"/>
      <c r="HCZ155" s="14"/>
      <c r="HDA155" s="14"/>
      <c r="HDB155" s="14"/>
      <c r="HDC155" s="14"/>
      <c r="HDD155" s="14"/>
      <c r="HDE155" s="14"/>
      <c r="HDF155" s="14"/>
      <c r="HDG155" s="14"/>
      <c r="HDH155" s="14"/>
      <c r="HDI155" s="14"/>
      <c r="HDJ155" s="14"/>
      <c r="HDK155" s="14"/>
      <c r="HDL155" s="14"/>
      <c r="HDM155" s="14"/>
      <c r="HDN155" s="14"/>
      <c r="HDO155" s="14"/>
      <c r="HDP155" s="14"/>
      <c r="HDQ155" s="14"/>
      <c r="HDR155" s="14"/>
      <c r="HDS155" s="14"/>
      <c r="HDT155" s="14"/>
      <c r="HDU155" s="14"/>
      <c r="HDV155" s="14"/>
      <c r="HDW155" s="14"/>
      <c r="HDX155" s="14"/>
      <c r="HDY155" s="14"/>
      <c r="HDZ155" s="14"/>
      <c r="HEA155" s="14"/>
      <c r="HEB155" s="14"/>
      <c r="HEC155" s="14"/>
      <c r="HED155" s="14"/>
      <c r="HEE155" s="14"/>
      <c r="HEF155" s="14"/>
      <c r="HEG155" s="14"/>
      <c r="HEH155" s="14"/>
      <c r="HEI155" s="14"/>
      <c r="HEJ155" s="14"/>
      <c r="HEK155" s="14"/>
      <c r="HEL155" s="14"/>
      <c r="HEM155" s="14"/>
      <c r="HEN155" s="14"/>
      <c r="HEO155" s="14"/>
      <c r="HEP155" s="14"/>
      <c r="HEQ155" s="14"/>
      <c r="HER155" s="14"/>
      <c r="HES155" s="14"/>
      <c r="HET155" s="14"/>
      <c r="HEU155" s="14"/>
      <c r="HEV155" s="14"/>
      <c r="HEW155" s="14"/>
      <c r="HEX155" s="14"/>
      <c r="HEY155" s="14"/>
      <c r="HEZ155" s="14"/>
      <c r="HFA155" s="14"/>
      <c r="HFB155" s="14"/>
      <c r="HFC155" s="14"/>
      <c r="HFD155" s="14"/>
      <c r="HFE155" s="14"/>
      <c r="HFF155" s="14"/>
      <c r="HFG155" s="14"/>
      <c r="HFH155" s="14"/>
      <c r="HFI155" s="14"/>
      <c r="HFJ155" s="14"/>
      <c r="HFK155" s="14"/>
      <c r="HFL155" s="14"/>
      <c r="HFM155" s="14"/>
      <c r="HFN155" s="14"/>
      <c r="HFO155" s="14"/>
      <c r="HFP155" s="14"/>
      <c r="HFQ155" s="14"/>
      <c r="HFR155" s="14"/>
      <c r="HFS155" s="14"/>
      <c r="HFT155" s="14"/>
      <c r="HFU155" s="14"/>
      <c r="HFV155" s="14"/>
      <c r="HFW155" s="14"/>
      <c r="HFX155" s="14"/>
      <c r="HFY155" s="14"/>
      <c r="HFZ155" s="14"/>
      <c r="HGA155" s="14"/>
      <c r="HGB155" s="14"/>
      <c r="HGC155" s="14"/>
      <c r="HGD155" s="14"/>
      <c r="HGE155" s="14"/>
      <c r="HGF155" s="14"/>
      <c r="HGG155" s="14"/>
      <c r="HGH155" s="14"/>
      <c r="HGI155" s="14"/>
      <c r="HGJ155" s="14"/>
      <c r="HGK155" s="14"/>
      <c r="HGL155" s="14"/>
      <c r="HGM155" s="14"/>
      <c r="HGN155" s="14"/>
      <c r="HGO155" s="14"/>
      <c r="HGP155" s="14"/>
      <c r="HGQ155" s="14"/>
      <c r="HGR155" s="14"/>
      <c r="HGS155" s="14"/>
      <c r="HGT155" s="14"/>
      <c r="HGU155" s="14"/>
      <c r="HGV155" s="14"/>
      <c r="HGW155" s="14"/>
      <c r="HGX155" s="14"/>
      <c r="HGY155" s="14"/>
      <c r="HGZ155" s="14"/>
      <c r="HHA155" s="14"/>
      <c r="HHB155" s="14"/>
      <c r="HHC155" s="14"/>
      <c r="HHD155" s="14"/>
      <c r="HHE155" s="14"/>
      <c r="HHF155" s="14"/>
      <c r="HHG155" s="14"/>
      <c r="HHH155" s="14"/>
      <c r="HHI155" s="14"/>
      <c r="HHJ155" s="14"/>
      <c r="HHK155" s="14"/>
      <c r="HHL155" s="14"/>
      <c r="HHM155" s="14"/>
      <c r="HHN155" s="14"/>
      <c r="HHO155" s="14"/>
      <c r="HHP155" s="14"/>
      <c r="HHQ155" s="14"/>
      <c r="HHR155" s="14"/>
      <c r="HHS155" s="14"/>
      <c r="HHT155" s="14"/>
      <c r="HHU155" s="14"/>
      <c r="HHV155" s="14"/>
      <c r="HHW155" s="14"/>
      <c r="HHX155" s="14"/>
      <c r="HHY155" s="14"/>
      <c r="HHZ155" s="14"/>
      <c r="HIA155" s="14"/>
      <c r="HIB155" s="14"/>
      <c r="HIC155" s="14"/>
      <c r="HID155" s="14"/>
      <c r="HIE155" s="14"/>
      <c r="HIF155" s="14"/>
      <c r="HIG155" s="14"/>
      <c r="HIH155" s="14"/>
      <c r="HII155" s="14"/>
      <c r="HIJ155" s="14"/>
      <c r="HIK155" s="14"/>
      <c r="HIL155" s="14"/>
      <c r="HIM155" s="14"/>
      <c r="HIN155" s="14"/>
      <c r="HIO155" s="14"/>
      <c r="HIP155" s="14"/>
      <c r="HIQ155" s="14"/>
      <c r="HIR155" s="14"/>
      <c r="HIS155" s="14"/>
      <c r="HIT155" s="14"/>
      <c r="HIU155" s="14"/>
      <c r="HIV155" s="14"/>
      <c r="HIW155" s="14"/>
      <c r="HIX155" s="14"/>
      <c r="HIY155" s="14"/>
      <c r="HIZ155" s="14"/>
      <c r="HJA155" s="14"/>
      <c r="HJB155" s="14"/>
      <c r="HJC155" s="14"/>
      <c r="HJD155" s="14"/>
      <c r="HJE155" s="14"/>
      <c r="HJF155" s="14"/>
      <c r="HJG155" s="14"/>
      <c r="HJH155" s="14"/>
      <c r="HJI155" s="14"/>
      <c r="HJJ155" s="14"/>
      <c r="HJK155" s="14"/>
      <c r="HJL155" s="14"/>
      <c r="HJM155" s="14"/>
      <c r="HJN155" s="14"/>
      <c r="HJO155" s="14"/>
      <c r="HJP155" s="14"/>
      <c r="HJQ155" s="14"/>
      <c r="HJR155" s="14"/>
      <c r="HJS155" s="14"/>
      <c r="HJT155" s="14"/>
      <c r="HJU155" s="14"/>
      <c r="HJV155" s="14"/>
      <c r="HJW155" s="14"/>
      <c r="HJX155" s="14"/>
      <c r="HJY155" s="14"/>
      <c r="HJZ155" s="14"/>
      <c r="HKA155" s="14"/>
      <c r="HKB155" s="14"/>
      <c r="HKC155" s="14"/>
      <c r="HKD155" s="14"/>
      <c r="HKE155" s="14"/>
      <c r="HKF155" s="14"/>
      <c r="HKG155" s="14"/>
      <c r="HKH155" s="14"/>
      <c r="HKI155" s="14"/>
      <c r="HKJ155" s="14"/>
      <c r="HKK155" s="14"/>
      <c r="HKL155" s="14"/>
      <c r="HKM155" s="14"/>
      <c r="HKN155" s="14"/>
      <c r="HKO155" s="14"/>
      <c r="HKP155" s="14"/>
      <c r="HKQ155" s="14"/>
      <c r="HKR155" s="14"/>
      <c r="HKS155" s="14"/>
      <c r="HKT155" s="14"/>
      <c r="HKU155" s="14"/>
      <c r="HKV155" s="14"/>
      <c r="HKW155" s="14"/>
      <c r="HKX155" s="14"/>
      <c r="HKY155" s="14"/>
      <c r="HKZ155" s="14"/>
      <c r="HLA155" s="14"/>
      <c r="HLB155" s="14"/>
      <c r="HLC155" s="14"/>
      <c r="HLD155" s="14"/>
      <c r="HLE155" s="14"/>
      <c r="HLF155" s="14"/>
      <c r="HLG155" s="14"/>
      <c r="HLH155" s="14"/>
      <c r="HLI155" s="14"/>
      <c r="HLJ155" s="14"/>
      <c r="HLK155" s="14"/>
      <c r="HLL155" s="14"/>
      <c r="HLM155" s="14"/>
      <c r="HLN155" s="14"/>
      <c r="HLO155" s="14"/>
      <c r="HLP155" s="14"/>
      <c r="HLQ155" s="14"/>
      <c r="HLR155" s="14"/>
      <c r="HLS155" s="14"/>
      <c r="HLT155" s="14"/>
      <c r="HLU155" s="14"/>
      <c r="HLV155" s="14"/>
      <c r="HLW155" s="14"/>
      <c r="HLX155" s="14"/>
      <c r="HLY155" s="14"/>
      <c r="HLZ155" s="14"/>
      <c r="HMA155" s="14"/>
      <c r="HMB155" s="14"/>
      <c r="HMC155" s="14"/>
      <c r="HMD155" s="14"/>
      <c r="HME155" s="14"/>
      <c r="HMF155" s="14"/>
      <c r="HMG155" s="14"/>
      <c r="HMH155" s="14"/>
      <c r="HMI155" s="14"/>
      <c r="HMJ155" s="14"/>
      <c r="HMK155" s="14"/>
      <c r="HML155" s="14"/>
      <c r="HMM155" s="14"/>
      <c r="HMN155" s="14"/>
      <c r="HMO155" s="14"/>
      <c r="HMP155" s="14"/>
      <c r="HMQ155" s="14"/>
      <c r="HMR155" s="14"/>
      <c r="HMS155" s="14"/>
      <c r="HMT155" s="14"/>
      <c r="HMU155" s="14"/>
      <c r="HMV155" s="14"/>
      <c r="HMW155" s="14"/>
      <c r="HMX155" s="14"/>
      <c r="HMY155" s="14"/>
      <c r="HMZ155" s="14"/>
      <c r="HNA155" s="14"/>
      <c r="HNB155" s="14"/>
      <c r="HNC155" s="14"/>
      <c r="HND155" s="14"/>
      <c r="HNE155" s="14"/>
      <c r="HNF155" s="14"/>
      <c r="HNG155" s="14"/>
      <c r="HNH155" s="14"/>
      <c r="HNI155" s="14"/>
      <c r="HNJ155" s="14"/>
      <c r="HNK155" s="14"/>
      <c r="HNL155" s="14"/>
      <c r="HNM155" s="14"/>
      <c r="HNN155" s="14"/>
      <c r="HNO155" s="14"/>
      <c r="HNP155" s="14"/>
      <c r="HNQ155" s="14"/>
      <c r="HNR155" s="14"/>
      <c r="HNS155" s="14"/>
      <c r="HNT155" s="14"/>
      <c r="HNU155" s="14"/>
      <c r="HNV155" s="14"/>
      <c r="HNW155" s="14"/>
      <c r="HNX155" s="14"/>
      <c r="HNY155" s="14"/>
      <c r="HNZ155" s="14"/>
      <c r="HOA155" s="14"/>
      <c r="HOB155" s="14"/>
      <c r="HOC155" s="14"/>
      <c r="HOD155" s="14"/>
      <c r="HOE155" s="14"/>
      <c r="HOF155" s="14"/>
      <c r="HOG155" s="14"/>
      <c r="HOH155" s="14"/>
      <c r="HOI155" s="14"/>
      <c r="HOJ155" s="14"/>
      <c r="HOK155" s="14"/>
      <c r="HOL155" s="14"/>
      <c r="HOM155" s="14"/>
      <c r="HON155" s="14"/>
      <c r="HOO155" s="14"/>
      <c r="HOP155" s="14"/>
      <c r="HOQ155" s="14"/>
      <c r="HOR155" s="14"/>
      <c r="HOS155" s="14"/>
      <c r="HOT155" s="14"/>
      <c r="HOU155" s="14"/>
      <c r="HOV155" s="14"/>
      <c r="HOW155" s="14"/>
      <c r="HOX155" s="14"/>
      <c r="HOY155" s="14"/>
      <c r="HOZ155" s="14"/>
      <c r="HPA155" s="14"/>
      <c r="HPB155" s="14"/>
      <c r="HPC155" s="14"/>
      <c r="HPD155" s="14"/>
      <c r="HPE155" s="14"/>
      <c r="HPF155" s="14"/>
      <c r="HPG155" s="14"/>
      <c r="HPH155" s="14"/>
      <c r="HPI155" s="14"/>
      <c r="HPJ155" s="14"/>
      <c r="HPK155" s="14"/>
      <c r="HPL155" s="14"/>
      <c r="HPM155" s="14"/>
      <c r="HPN155" s="14"/>
      <c r="HPO155" s="14"/>
      <c r="HPP155" s="14"/>
      <c r="HPQ155" s="14"/>
      <c r="HPR155" s="14"/>
      <c r="HPS155" s="14"/>
      <c r="HPT155" s="14"/>
      <c r="HPU155" s="14"/>
      <c r="HPV155" s="14"/>
      <c r="HPW155" s="14"/>
      <c r="HPX155" s="14"/>
      <c r="HPY155" s="14"/>
      <c r="HPZ155" s="14"/>
      <c r="HQA155" s="14"/>
      <c r="HQB155" s="14"/>
      <c r="HQC155" s="14"/>
      <c r="HQD155" s="14"/>
      <c r="HQE155" s="14"/>
      <c r="HQF155" s="14"/>
      <c r="HQG155" s="14"/>
      <c r="HQH155" s="14"/>
      <c r="HQI155" s="14"/>
      <c r="HQJ155" s="14"/>
      <c r="HQK155" s="14"/>
      <c r="HQL155" s="14"/>
      <c r="HQM155" s="14"/>
      <c r="HQN155" s="14"/>
      <c r="HQO155" s="14"/>
      <c r="HQP155" s="14"/>
      <c r="HQQ155" s="14"/>
      <c r="HQR155" s="14"/>
      <c r="HQS155" s="14"/>
      <c r="HQT155" s="14"/>
      <c r="HQU155" s="14"/>
      <c r="HQV155" s="14"/>
      <c r="HQW155" s="14"/>
      <c r="HQX155" s="14"/>
      <c r="HQY155" s="14"/>
      <c r="HQZ155" s="14"/>
      <c r="HRA155" s="14"/>
      <c r="HRB155" s="14"/>
      <c r="HRC155" s="14"/>
      <c r="HRD155" s="14"/>
      <c r="HRE155" s="14"/>
      <c r="HRF155" s="14"/>
      <c r="HRG155" s="14"/>
      <c r="HRH155" s="14"/>
      <c r="HRI155" s="14"/>
      <c r="HRJ155" s="14"/>
      <c r="HRK155" s="14"/>
      <c r="HRL155" s="14"/>
      <c r="HRM155" s="14"/>
      <c r="HRN155" s="14"/>
      <c r="HRO155" s="14"/>
      <c r="HRP155" s="14"/>
      <c r="HRQ155" s="14"/>
      <c r="HRR155" s="14"/>
      <c r="HRS155" s="14"/>
      <c r="HRT155" s="14"/>
      <c r="HRU155" s="14"/>
      <c r="HRV155" s="14"/>
      <c r="HRW155" s="14"/>
      <c r="HRX155" s="14"/>
      <c r="HRY155" s="14"/>
      <c r="HRZ155" s="14"/>
      <c r="HSA155" s="14"/>
      <c r="HSB155" s="14"/>
      <c r="HSC155" s="14"/>
      <c r="HSD155" s="14"/>
      <c r="HSE155" s="14"/>
      <c r="HSF155" s="14"/>
      <c r="HSG155" s="14"/>
      <c r="HSH155" s="14"/>
      <c r="HSI155" s="14"/>
      <c r="HSJ155" s="14"/>
      <c r="HSK155" s="14"/>
      <c r="HSL155" s="14"/>
      <c r="HSM155" s="14"/>
      <c r="HSN155" s="14"/>
      <c r="HSO155" s="14"/>
      <c r="HSP155" s="14"/>
      <c r="HSQ155" s="14"/>
      <c r="HSR155" s="14"/>
      <c r="HSS155" s="14"/>
      <c r="HST155" s="14"/>
      <c r="HSU155" s="14"/>
      <c r="HSV155" s="14"/>
      <c r="HSW155" s="14"/>
      <c r="HSX155" s="14"/>
      <c r="HSY155" s="14"/>
      <c r="HSZ155" s="14"/>
      <c r="HTA155" s="14"/>
      <c r="HTB155" s="14"/>
      <c r="HTC155" s="14"/>
      <c r="HTD155" s="14"/>
      <c r="HTE155" s="14"/>
      <c r="HTF155" s="14"/>
      <c r="HTG155" s="14"/>
      <c r="HTH155" s="14"/>
      <c r="HTI155" s="14"/>
      <c r="HTJ155" s="14"/>
      <c r="HTK155" s="14"/>
      <c r="HTL155" s="14"/>
      <c r="HTM155" s="14"/>
      <c r="HTN155" s="14"/>
      <c r="HTO155" s="14"/>
      <c r="HTP155" s="14"/>
      <c r="HTQ155" s="14"/>
      <c r="HTR155" s="14"/>
      <c r="HTS155" s="14"/>
      <c r="HTT155" s="14"/>
      <c r="HTU155" s="14"/>
      <c r="HTV155" s="14"/>
      <c r="HTW155" s="14"/>
      <c r="HTX155" s="14"/>
      <c r="HTY155" s="14"/>
      <c r="HTZ155" s="14"/>
      <c r="HUA155" s="14"/>
      <c r="HUB155" s="14"/>
      <c r="HUC155" s="14"/>
      <c r="HUD155" s="14"/>
      <c r="HUE155" s="14"/>
      <c r="HUF155" s="14"/>
      <c r="HUG155" s="14"/>
      <c r="HUH155" s="14"/>
      <c r="HUI155" s="14"/>
      <c r="HUJ155" s="14"/>
      <c r="HUK155" s="14"/>
      <c r="HUL155" s="14"/>
      <c r="HUM155" s="14"/>
      <c r="HUN155" s="14"/>
      <c r="HUO155" s="14"/>
      <c r="HUP155" s="14"/>
      <c r="HUQ155" s="14"/>
      <c r="HUR155" s="14"/>
      <c r="HUS155" s="14"/>
      <c r="HUT155" s="14"/>
      <c r="HUU155" s="14"/>
      <c r="HUV155" s="14"/>
      <c r="HUW155" s="14"/>
      <c r="HUX155" s="14"/>
      <c r="HUY155" s="14"/>
      <c r="HUZ155" s="14"/>
      <c r="HVA155" s="14"/>
      <c r="HVB155" s="14"/>
      <c r="HVC155" s="14"/>
      <c r="HVD155" s="14"/>
      <c r="HVE155" s="14"/>
      <c r="HVF155" s="14"/>
      <c r="HVG155" s="14"/>
      <c r="HVH155" s="14"/>
      <c r="HVI155" s="14"/>
      <c r="HVJ155" s="14"/>
      <c r="HVK155" s="14"/>
      <c r="HVL155" s="14"/>
      <c r="HVM155" s="14"/>
      <c r="HVN155" s="14"/>
      <c r="HVO155" s="14"/>
      <c r="HVP155" s="14"/>
      <c r="HVQ155" s="14"/>
      <c r="HVR155" s="14"/>
      <c r="HVS155" s="14"/>
      <c r="HVT155" s="14"/>
      <c r="HVU155" s="14"/>
      <c r="HVV155" s="14"/>
      <c r="HVW155" s="14"/>
      <c r="HVX155" s="14"/>
      <c r="HVY155" s="14"/>
      <c r="HVZ155" s="14"/>
      <c r="HWA155" s="14"/>
      <c r="HWB155" s="14"/>
      <c r="HWC155" s="14"/>
      <c r="HWD155" s="14"/>
      <c r="HWE155" s="14"/>
      <c r="HWF155" s="14"/>
      <c r="HWG155" s="14"/>
      <c r="HWH155" s="14"/>
      <c r="HWI155" s="14"/>
      <c r="HWJ155" s="14"/>
      <c r="HWK155" s="14"/>
      <c r="HWL155" s="14"/>
      <c r="HWM155" s="14"/>
      <c r="HWN155" s="14"/>
      <c r="HWO155" s="14"/>
      <c r="HWP155" s="14"/>
      <c r="HWQ155" s="14"/>
      <c r="HWR155" s="14"/>
      <c r="HWS155" s="14"/>
      <c r="HWT155" s="14"/>
      <c r="HWU155" s="14"/>
      <c r="HWV155" s="14"/>
      <c r="HWW155" s="14"/>
      <c r="HWX155" s="14"/>
      <c r="HWY155" s="14"/>
      <c r="HWZ155" s="14"/>
      <c r="HXA155" s="14"/>
      <c r="HXB155" s="14"/>
      <c r="HXC155" s="14"/>
      <c r="HXD155" s="14"/>
      <c r="HXE155" s="14"/>
      <c r="HXF155" s="14"/>
      <c r="HXG155" s="14"/>
      <c r="HXH155" s="14"/>
      <c r="HXI155" s="14"/>
      <c r="HXJ155" s="14"/>
      <c r="HXK155" s="14"/>
      <c r="HXL155" s="14"/>
      <c r="HXM155" s="14"/>
      <c r="HXN155" s="14"/>
      <c r="HXO155" s="14"/>
      <c r="HXP155" s="14"/>
      <c r="HXQ155" s="14"/>
      <c r="HXR155" s="14"/>
      <c r="HXS155" s="14"/>
      <c r="HXT155" s="14"/>
      <c r="HXU155" s="14"/>
      <c r="HXV155" s="14"/>
      <c r="HXW155" s="14"/>
      <c r="HXX155" s="14"/>
      <c r="HXY155" s="14"/>
      <c r="HXZ155" s="14"/>
      <c r="HYA155" s="14"/>
      <c r="HYB155" s="14"/>
      <c r="HYC155" s="14"/>
      <c r="HYD155" s="14"/>
      <c r="HYE155" s="14"/>
      <c r="HYF155" s="14"/>
      <c r="HYG155" s="14"/>
      <c r="HYH155" s="14"/>
      <c r="HYI155" s="14"/>
      <c r="HYJ155" s="14"/>
      <c r="HYK155" s="14"/>
      <c r="HYL155" s="14"/>
      <c r="HYM155" s="14"/>
      <c r="HYN155" s="14"/>
      <c r="HYO155" s="14"/>
      <c r="HYP155" s="14"/>
      <c r="HYQ155" s="14"/>
      <c r="HYR155" s="14"/>
      <c r="HYS155" s="14"/>
      <c r="HYT155" s="14"/>
      <c r="HYU155" s="14"/>
      <c r="HYV155" s="14"/>
      <c r="HYW155" s="14"/>
      <c r="HYX155" s="14"/>
      <c r="HYY155" s="14"/>
      <c r="HYZ155" s="14"/>
      <c r="HZA155" s="14"/>
      <c r="HZB155" s="14"/>
      <c r="HZC155" s="14"/>
      <c r="HZD155" s="14"/>
      <c r="HZE155" s="14"/>
      <c r="HZF155" s="14"/>
      <c r="HZG155" s="14"/>
      <c r="HZH155" s="14"/>
      <c r="HZI155" s="14"/>
      <c r="HZJ155" s="14"/>
      <c r="HZK155" s="14"/>
      <c r="HZL155" s="14"/>
      <c r="HZM155" s="14"/>
      <c r="HZN155" s="14"/>
      <c r="HZO155" s="14"/>
      <c r="HZP155" s="14"/>
      <c r="HZQ155" s="14"/>
      <c r="HZR155" s="14"/>
      <c r="HZS155" s="14"/>
      <c r="HZT155" s="14"/>
      <c r="HZU155" s="14"/>
      <c r="HZV155" s="14"/>
      <c r="HZW155" s="14"/>
      <c r="HZX155" s="14"/>
      <c r="HZY155" s="14"/>
      <c r="HZZ155" s="14"/>
      <c r="IAA155" s="14"/>
      <c r="IAB155" s="14"/>
      <c r="IAC155" s="14"/>
      <c r="IAD155" s="14"/>
      <c r="IAE155" s="14"/>
      <c r="IAF155" s="14"/>
      <c r="IAG155" s="14"/>
      <c r="IAH155" s="14"/>
      <c r="IAI155" s="14"/>
      <c r="IAJ155" s="14"/>
      <c r="IAK155" s="14"/>
      <c r="IAL155" s="14"/>
      <c r="IAM155" s="14"/>
      <c r="IAN155" s="14"/>
      <c r="IAO155" s="14"/>
      <c r="IAP155" s="14"/>
      <c r="IAQ155" s="14"/>
      <c r="IAR155" s="14"/>
      <c r="IAS155" s="14"/>
      <c r="IAT155" s="14"/>
      <c r="IAU155" s="14"/>
      <c r="IAV155" s="14"/>
      <c r="IAW155" s="14"/>
      <c r="IAX155" s="14"/>
      <c r="IAY155" s="14"/>
      <c r="IAZ155" s="14"/>
      <c r="IBA155" s="14"/>
      <c r="IBB155" s="14"/>
      <c r="IBC155" s="14"/>
      <c r="IBD155" s="14"/>
      <c r="IBE155" s="14"/>
      <c r="IBF155" s="14"/>
      <c r="IBG155" s="14"/>
      <c r="IBH155" s="14"/>
      <c r="IBI155" s="14"/>
      <c r="IBJ155" s="14"/>
      <c r="IBK155" s="14"/>
      <c r="IBL155" s="14"/>
      <c r="IBM155" s="14"/>
      <c r="IBN155" s="14"/>
      <c r="IBO155" s="14"/>
      <c r="IBP155" s="14"/>
      <c r="IBQ155" s="14"/>
      <c r="IBR155" s="14"/>
      <c r="IBS155" s="14"/>
      <c r="IBT155" s="14"/>
      <c r="IBU155" s="14"/>
      <c r="IBV155" s="14"/>
      <c r="IBW155" s="14"/>
      <c r="IBX155" s="14"/>
      <c r="IBY155" s="14"/>
      <c r="IBZ155" s="14"/>
      <c r="ICA155" s="14"/>
      <c r="ICB155" s="14"/>
      <c r="ICC155" s="14"/>
      <c r="ICD155" s="14"/>
      <c r="ICE155" s="14"/>
      <c r="ICF155" s="14"/>
      <c r="ICG155" s="14"/>
      <c r="ICH155" s="14"/>
      <c r="ICI155" s="14"/>
      <c r="ICJ155" s="14"/>
      <c r="ICK155" s="14"/>
      <c r="ICL155" s="14"/>
      <c r="ICM155" s="14"/>
      <c r="ICN155" s="14"/>
      <c r="ICO155" s="14"/>
      <c r="ICP155" s="14"/>
      <c r="ICQ155" s="14"/>
      <c r="ICR155" s="14"/>
      <c r="ICS155" s="14"/>
      <c r="ICT155" s="14"/>
      <c r="ICU155" s="14"/>
      <c r="ICV155" s="14"/>
      <c r="ICW155" s="14"/>
      <c r="ICX155" s="14"/>
      <c r="ICY155" s="14"/>
      <c r="ICZ155" s="14"/>
      <c r="IDA155" s="14"/>
      <c r="IDB155" s="14"/>
      <c r="IDC155" s="14"/>
      <c r="IDD155" s="14"/>
      <c r="IDE155" s="14"/>
      <c r="IDF155" s="14"/>
      <c r="IDG155" s="14"/>
      <c r="IDH155" s="14"/>
      <c r="IDI155" s="14"/>
      <c r="IDJ155" s="14"/>
      <c r="IDK155" s="14"/>
      <c r="IDL155" s="14"/>
      <c r="IDM155" s="14"/>
      <c r="IDN155" s="14"/>
      <c r="IDO155" s="14"/>
      <c r="IDP155" s="14"/>
      <c r="IDQ155" s="14"/>
      <c r="IDR155" s="14"/>
      <c r="IDS155" s="14"/>
      <c r="IDT155" s="14"/>
      <c r="IDU155" s="14"/>
      <c r="IDV155" s="14"/>
      <c r="IDW155" s="14"/>
      <c r="IDX155" s="14"/>
      <c r="IDY155" s="14"/>
      <c r="IDZ155" s="14"/>
      <c r="IEA155" s="14"/>
      <c r="IEB155" s="14"/>
      <c r="IEC155" s="14"/>
      <c r="IED155" s="14"/>
      <c r="IEE155" s="14"/>
      <c r="IEF155" s="14"/>
      <c r="IEG155" s="14"/>
      <c r="IEH155" s="14"/>
      <c r="IEI155" s="14"/>
      <c r="IEJ155" s="14"/>
      <c r="IEK155" s="14"/>
      <c r="IEL155" s="14"/>
      <c r="IEM155" s="14"/>
      <c r="IEN155" s="14"/>
      <c r="IEO155" s="14"/>
      <c r="IEP155" s="14"/>
      <c r="IEQ155" s="14"/>
      <c r="IER155" s="14"/>
      <c r="IES155" s="14"/>
      <c r="IET155" s="14"/>
      <c r="IEU155" s="14"/>
      <c r="IEV155" s="14"/>
      <c r="IEW155" s="14"/>
      <c r="IEX155" s="14"/>
      <c r="IEY155" s="14"/>
      <c r="IEZ155" s="14"/>
      <c r="IFA155" s="14"/>
      <c r="IFB155" s="14"/>
      <c r="IFC155" s="14"/>
      <c r="IFD155" s="14"/>
      <c r="IFE155" s="14"/>
      <c r="IFF155" s="14"/>
      <c r="IFG155" s="14"/>
      <c r="IFH155" s="14"/>
      <c r="IFI155" s="14"/>
      <c r="IFJ155" s="14"/>
      <c r="IFK155" s="14"/>
      <c r="IFL155" s="14"/>
      <c r="IFM155" s="14"/>
      <c r="IFN155" s="14"/>
      <c r="IFO155" s="14"/>
      <c r="IFP155" s="14"/>
      <c r="IFQ155" s="14"/>
      <c r="IFR155" s="14"/>
      <c r="IFS155" s="14"/>
      <c r="IFT155" s="14"/>
      <c r="IFU155" s="14"/>
      <c r="IFV155" s="14"/>
      <c r="IFW155" s="14"/>
      <c r="IFX155" s="14"/>
      <c r="IFY155" s="14"/>
      <c r="IFZ155" s="14"/>
      <c r="IGA155" s="14"/>
      <c r="IGB155" s="14"/>
      <c r="IGC155" s="14"/>
      <c r="IGD155" s="14"/>
      <c r="IGE155" s="14"/>
      <c r="IGF155" s="14"/>
      <c r="IGG155" s="14"/>
      <c r="IGH155" s="14"/>
      <c r="IGI155" s="14"/>
      <c r="IGJ155" s="14"/>
      <c r="IGK155" s="14"/>
      <c r="IGL155" s="14"/>
      <c r="IGM155" s="14"/>
      <c r="IGN155" s="14"/>
      <c r="IGO155" s="14"/>
      <c r="IGP155" s="14"/>
      <c r="IGQ155" s="14"/>
      <c r="IGR155" s="14"/>
      <c r="IGS155" s="14"/>
      <c r="IGT155" s="14"/>
      <c r="IGU155" s="14"/>
      <c r="IGV155" s="14"/>
      <c r="IGW155" s="14"/>
      <c r="IGX155" s="14"/>
      <c r="IGY155" s="14"/>
      <c r="IGZ155" s="14"/>
      <c r="IHA155" s="14"/>
      <c r="IHB155" s="14"/>
      <c r="IHC155" s="14"/>
      <c r="IHD155" s="14"/>
      <c r="IHE155" s="14"/>
      <c r="IHF155" s="14"/>
      <c r="IHG155" s="14"/>
      <c r="IHH155" s="14"/>
      <c r="IHI155" s="14"/>
      <c r="IHJ155" s="14"/>
      <c r="IHK155" s="14"/>
      <c r="IHL155" s="14"/>
      <c r="IHM155" s="14"/>
      <c r="IHN155" s="14"/>
      <c r="IHO155" s="14"/>
      <c r="IHP155" s="14"/>
      <c r="IHQ155" s="14"/>
      <c r="IHR155" s="14"/>
      <c r="IHS155" s="14"/>
      <c r="IHT155" s="14"/>
      <c r="IHU155" s="14"/>
      <c r="IHV155" s="14"/>
      <c r="IHW155" s="14"/>
      <c r="IHX155" s="14"/>
      <c r="IHY155" s="14"/>
      <c r="IHZ155" s="14"/>
      <c r="IIA155" s="14"/>
      <c r="IIB155" s="14"/>
      <c r="IIC155" s="14"/>
      <c r="IID155" s="14"/>
      <c r="IIE155" s="14"/>
      <c r="IIF155" s="14"/>
      <c r="IIG155" s="14"/>
      <c r="IIH155" s="14"/>
      <c r="III155" s="14"/>
      <c r="IIJ155" s="14"/>
      <c r="IIK155" s="14"/>
      <c r="IIL155" s="14"/>
      <c r="IIM155" s="14"/>
      <c r="IIN155" s="14"/>
      <c r="IIO155" s="14"/>
      <c r="IIP155" s="14"/>
      <c r="IIQ155" s="14"/>
      <c r="IIR155" s="14"/>
      <c r="IIS155" s="14"/>
      <c r="IIT155" s="14"/>
      <c r="IIU155" s="14"/>
      <c r="IIV155" s="14"/>
      <c r="IIW155" s="14"/>
      <c r="IIX155" s="14"/>
      <c r="IIY155" s="14"/>
      <c r="IIZ155" s="14"/>
      <c r="IJA155" s="14"/>
      <c r="IJB155" s="14"/>
      <c r="IJC155" s="14"/>
      <c r="IJD155" s="14"/>
      <c r="IJE155" s="14"/>
      <c r="IJF155" s="14"/>
      <c r="IJG155" s="14"/>
      <c r="IJH155" s="14"/>
      <c r="IJI155" s="14"/>
      <c r="IJJ155" s="14"/>
      <c r="IJK155" s="14"/>
      <c r="IJL155" s="14"/>
      <c r="IJM155" s="14"/>
      <c r="IJN155" s="14"/>
      <c r="IJO155" s="14"/>
      <c r="IJP155" s="14"/>
      <c r="IJQ155" s="14"/>
      <c r="IJR155" s="14"/>
      <c r="IJS155" s="14"/>
      <c r="IJT155" s="14"/>
      <c r="IJU155" s="14"/>
      <c r="IJV155" s="14"/>
      <c r="IJW155" s="14"/>
      <c r="IJX155" s="14"/>
      <c r="IJY155" s="14"/>
      <c r="IJZ155" s="14"/>
      <c r="IKA155" s="14"/>
      <c r="IKB155" s="14"/>
      <c r="IKC155" s="14"/>
      <c r="IKD155" s="14"/>
      <c r="IKE155" s="14"/>
      <c r="IKF155" s="14"/>
      <c r="IKG155" s="14"/>
      <c r="IKH155" s="14"/>
      <c r="IKI155" s="14"/>
      <c r="IKJ155" s="14"/>
      <c r="IKK155" s="14"/>
      <c r="IKL155" s="14"/>
      <c r="IKM155" s="14"/>
      <c r="IKN155" s="14"/>
      <c r="IKO155" s="14"/>
      <c r="IKP155" s="14"/>
      <c r="IKQ155" s="14"/>
      <c r="IKR155" s="14"/>
      <c r="IKS155" s="14"/>
      <c r="IKT155" s="14"/>
      <c r="IKU155" s="14"/>
      <c r="IKV155" s="14"/>
      <c r="IKW155" s="14"/>
      <c r="IKX155" s="14"/>
      <c r="IKY155" s="14"/>
      <c r="IKZ155" s="14"/>
      <c r="ILA155" s="14"/>
      <c r="ILB155" s="14"/>
      <c r="ILC155" s="14"/>
      <c r="ILD155" s="14"/>
      <c r="ILE155" s="14"/>
      <c r="ILF155" s="14"/>
      <c r="ILG155" s="14"/>
      <c r="ILH155" s="14"/>
      <c r="ILI155" s="14"/>
      <c r="ILJ155" s="14"/>
      <c r="ILK155" s="14"/>
      <c r="ILL155" s="14"/>
      <c r="ILM155" s="14"/>
      <c r="ILN155" s="14"/>
      <c r="ILO155" s="14"/>
      <c r="ILP155" s="14"/>
      <c r="ILQ155" s="14"/>
      <c r="ILR155" s="14"/>
      <c r="ILS155" s="14"/>
      <c r="ILT155" s="14"/>
      <c r="ILU155" s="14"/>
      <c r="ILV155" s="14"/>
      <c r="ILW155" s="14"/>
      <c r="ILX155" s="14"/>
      <c r="ILY155" s="14"/>
      <c r="ILZ155" s="14"/>
      <c r="IMA155" s="14"/>
      <c r="IMB155" s="14"/>
      <c r="IMC155" s="14"/>
      <c r="IMD155" s="14"/>
      <c r="IME155" s="14"/>
      <c r="IMF155" s="14"/>
      <c r="IMG155" s="14"/>
      <c r="IMH155" s="14"/>
      <c r="IMI155" s="14"/>
      <c r="IMJ155" s="14"/>
      <c r="IMK155" s="14"/>
      <c r="IML155" s="14"/>
      <c r="IMM155" s="14"/>
      <c r="IMN155" s="14"/>
      <c r="IMO155" s="14"/>
      <c r="IMP155" s="14"/>
      <c r="IMQ155" s="14"/>
      <c r="IMR155" s="14"/>
      <c r="IMS155" s="14"/>
      <c r="IMT155" s="14"/>
      <c r="IMU155" s="14"/>
      <c r="IMV155" s="14"/>
      <c r="IMW155" s="14"/>
      <c r="IMX155" s="14"/>
      <c r="IMY155" s="14"/>
      <c r="IMZ155" s="14"/>
      <c r="INA155" s="14"/>
      <c r="INB155" s="14"/>
      <c r="INC155" s="14"/>
      <c r="IND155" s="14"/>
      <c r="INE155" s="14"/>
      <c r="INF155" s="14"/>
      <c r="ING155" s="14"/>
      <c r="INH155" s="14"/>
      <c r="INI155" s="14"/>
      <c r="INJ155" s="14"/>
      <c r="INK155" s="14"/>
      <c r="INL155" s="14"/>
      <c r="INM155" s="14"/>
      <c r="INN155" s="14"/>
      <c r="INO155" s="14"/>
      <c r="INP155" s="14"/>
      <c r="INQ155" s="14"/>
      <c r="INR155" s="14"/>
      <c r="INS155" s="14"/>
      <c r="INT155" s="14"/>
      <c r="INU155" s="14"/>
      <c r="INV155" s="14"/>
      <c r="INW155" s="14"/>
      <c r="INX155" s="14"/>
      <c r="INY155" s="14"/>
      <c r="INZ155" s="14"/>
      <c r="IOA155" s="14"/>
      <c r="IOB155" s="14"/>
      <c r="IOC155" s="14"/>
      <c r="IOD155" s="14"/>
      <c r="IOE155" s="14"/>
      <c r="IOF155" s="14"/>
      <c r="IOG155" s="14"/>
      <c r="IOH155" s="14"/>
      <c r="IOI155" s="14"/>
      <c r="IOJ155" s="14"/>
      <c r="IOK155" s="14"/>
      <c r="IOL155" s="14"/>
      <c r="IOM155" s="14"/>
      <c r="ION155" s="14"/>
      <c r="IOO155" s="14"/>
      <c r="IOP155" s="14"/>
      <c r="IOQ155" s="14"/>
      <c r="IOR155" s="14"/>
      <c r="IOS155" s="14"/>
      <c r="IOT155" s="14"/>
      <c r="IOU155" s="14"/>
      <c r="IOV155" s="14"/>
      <c r="IOW155" s="14"/>
      <c r="IOX155" s="14"/>
      <c r="IOY155" s="14"/>
      <c r="IOZ155" s="14"/>
      <c r="IPA155" s="14"/>
      <c r="IPB155" s="14"/>
      <c r="IPC155" s="14"/>
      <c r="IPD155" s="14"/>
      <c r="IPE155" s="14"/>
      <c r="IPF155" s="14"/>
      <c r="IPG155" s="14"/>
      <c r="IPH155" s="14"/>
      <c r="IPI155" s="14"/>
      <c r="IPJ155" s="14"/>
      <c r="IPK155" s="14"/>
      <c r="IPL155" s="14"/>
      <c r="IPM155" s="14"/>
      <c r="IPN155" s="14"/>
      <c r="IPO155" s="14"/>
      <c r="IPP155" s="14"/>
      <c r="IPQ155" s="14"/>
      <c r="IPR155" s="14"/>
      <c r="IPS155" s="14"/>
      <c r="IPT155" s="14"/>
      <c r="IPU155" s="14"/>
      <c r="IPV155" s="14"/>
      <c r="IPW155" s="14"/>
      <c r="IPX155" s="14"/>
      <c r="IPY155" s="14"/>
      <c r="IPZ155" s="14"/>
      <c r="IQA155" s="14"/>
      <c r="IQB155" s="14"/>
      <c r="IQC155" s="14"/>
      <c r="IQD155" s="14"/>
      <c r="IQE155" s="14"/>
      <c r="IQF155" s="14"/>
      <c r="IQG155" s="14"/>
      <c r="IQH155" s="14"/>
      <c r="IQI155" s="14"/>
      <c r="IQJ155" s="14"/>
      <c r="IQK155" s="14"/>
      <c r="IQL155" s="14"/>
      <c r="IQM155" s="14"/>
      <c r="IQN155" s="14"/>
      <c r="IQO155" s="14"/>
      <c r="IQP155" s="14"/>
      <c r="IQQ155" s="14"/>
      <c r="IQR155" s="14"/>
      <c r="IQS155" s="14"/>
      <c r="IQT155" s="14"/>
      <c r="IQU155" s="14"/>
      <c r="IQV155" s="14"/>
      <c r="IQW155" s="14"/>
      <c r="IQX155" s="14"/>
      <c r="IQY155" s="14"/>
      <c r="IQZ155" s="14"/>
      <c r="IRA155" s="14"/>
      <c r="IRB155" s="14"/>
      <c r="IRC155" s="14"/>
      <c r="IRD155" s="14"/>
      <c r="IRE155" s="14"/>
      <c r="IRF155" s="14"/>
      <c r="IRG155" s="14"/>
      <c r="IRH155" s="14"/>
      <c r="IRI155" s="14"/>
      <c r="IRJ155" s="14"/>
      <c r="IRK155" s="14"/>
      <c r="IRL155" s="14"/>
      <c r="IRM155" s="14"/>
      <c r="IRN155" s="14"/>
      <c r="IRO155" s="14"/>
      <c r="IRP155" s="14"/>
      <c r="IRQ155" s="14"/>
      <c r="IRR155" s="14"/>
      <c r="IRS155" s="14"/>
      <c r="IRT155" s="14"/>
      <c r="IRU155" s="14"/>
      <c r="IRV155" s="14"/>
      <c r="IRW155" s="14"/>
      <c r="IRX155" s="14"/>
      <c r="IRY155" s="14"/>
      <c r="IRZ155" s="14"/>
      <c r="ISA155" s="14"/>
      <c r="ISB155" s="14"/>
      <c r="ISC155" s="14"/>
      <c r="ISD155" s="14"/>
      <c r="ISE155" s="14"/>
      <c r="ISF155" s="14"/>
      <c r="ISG155" s="14"/>
      <c r="ISH155" s="14"/>
      <c r="ISI155" s="14"/>
      <c r="ISJ155" s="14"/>
      <c r="ISK155" s="14"/>
      <c r="ISL155" s="14"/>
      <c r="ISM155" s="14"/>
      <c r="ISN155" s="14"/>
      <c r="ISO155" s="14"/>
      <c r="ISP155" s="14"/>
      <c r="ISQ155" s="14"/>
      <c r="ISR155" s="14"/>
      <c r="ISS155" s="14"/>
      <c r="IST155" s="14"/>
      <c r="ISU155" s="14"/>
      <c r="ISV155" s="14"/>
      <c r="ISW155" s="14"/>
      <c r="ISX155" s="14"/>
      <c r="ISY155" s="14"/>
      <c r="ISZ155" s="14"/>
      <c r="ITA155" s="14"/>
      <c r="ITB155" s="14"/>
      <c r="ITC155" s="14"/>
      <c r="ITD155" s="14"/>
      <c r="ITE155" s="14"/>
      <c r="ITF155" s="14"/>
      <c r="ITG155" s="14"/>
      <c r="ITH155" s="14"/>
      <c r="ITI155" s="14"/>
      <c r="ITJ155" s="14"/>
      <c r="ITK155" s="14"/>
      <c r="ITL155" s="14"/>
      <c r="ITM155" s="14"/>
      <c r="ITN155" s="14"/>
      <c r="ITO155" s="14"/>
      <c r="ITP155" s="14"/>
      <c r="ITQ155" s="14"/>
      <c r="ITR155" s="14"/>
      <c r="ITS155" s="14"/>
      <c r="ITT155" s="14"/>
      <c r="ITU155" s="14"/>
      <c r="ITV155" s="14"/>
      <c r="ITW155" s="14"/>
      <c r="ITX155" s="14"/>
      <c r="ITY155" s="14"/>
      <c r="ITZ155" s="14"/>
      <c r="IUA155" s="14"/>
      <c r="IUB155" s="14"/>
      <c r="IUC155" s="14"/>
      <c r="IUD155" s="14"/>
      <c r="IUE155" s="14"/>
      <c r="IUF155" s="14"/>
      <c r="IUG155" s="14"/>
      <c r="IUH155" s="14"/>
      <c r="IUI155" s="14"/>
      <c r="IUJ155" s="14"/>
      <c r="IUK155" s="14"/>
      <c r="IUL155" s="14"/>
      <c r="IUM155" s="14"/>
      <c r="IUN155" s="14"/>
      <c r="IUO155" s="14"/>
      <c r="IUP155" s="14"/>
      <c r="IUQ155" s="14"/>
      <c r="IUR155" s="14"/>
      <c r="IUS155" s="14"/>
      <c r="IUT155" s="14"/>
      <c r="IUU155" s="14"/>
      <c r="IUV155" s="14"/>
      <c r="IUW155" s="14"/>
      <c r="IUX155" s="14"/>
      <c r="IUY155" s="14"/>
      <c r="IUZ155" s="14"/>
      <c r="IVA155" s="14"/>
      <c r="IVB155" s="14"/>
      <c r="IVC155" s="14"/>
      <c r="IVD155" s="14"/>
      <c r="IVE155" s="14"/>
      <c r="IVF155" s="14"/>
      <c r="IVG155" s="14"/>
      <c r="IVH155" s="14"/>
      <c r="IVI155" s="14"/>
      <c r="IVJ155" s="14"/>
      <c r="IVK155" s="14"/>
      <c r="IVL155" s="14"/>
      <c r="IVM155" s="14"/>
      <c r="IVN155" s="14"/>
      <c r="IVO155" s="14"/>
      <c r="IVP155" s="14"/>
      <c r="IVQ155" s="14"/>
      <c r="IVR155" s="14"/>
      <c r="IVS155" s="14"/>
      <c r="IVT155" s="14"/>
      <c r="IVU155" s="14"/>
      <c r="IVV155" s="14"/>
      <c r="IVW155" s="14"/>
      <c r="IVX155" s="14"/>
      <c r="IVY155" s="14"/>
      <c r="IVZ155" s="14"/>
      <c r="IWA155" s="14"/>
      <c r="IWB155" s="14"/>
      <c r="IWC155" s="14"/>
      <c r="IWD155" s="14"/>
      <c r="IWE155" s="14"/>
      <c r="IWF155" s="14"/>
      <c r="IWG155" s="14"/>
      <c r="IWH155" s="14"/>
      <c r="IWI155" s="14"/>
      <c r="IWJ155" s="14"/>
      <c r="IWK155" s="14"/>
      <c r="IWL155" s="14"/>
      <c r="IWM155" s="14"/>
      <c r="IWN155" s="14"/>
      <c r="IWO155" s="14"/>
      <c r="IWP155" s="14"/>
      <c r="IWQ155" s="14"/>
      <c r="IWR155" s="14"/>
      <c r="IWS155" s="14"/>
      <c r="IWT155" s="14"/>
      <c r="IWU155" s="14"/>
      <c r="IWV155" s="14"/>
      <c r="IWW155" s="14"/>
      <c r="IWX155" s="14"/>
      <c r="IWY155" s="14"/>
      <c r="IWZ155" s="14"/>
      <c r="IXA155" s="14"/>
      <c r="IXB155" s="14"/>
      <c r="IXC155" s="14"/>
      <c r="IXD155" s="14"/>
      <c r="IXE155" s="14"/>
      <c r="IXF155" s="14"/>
      <c r="IXG155" s="14"/>
      <c r="IXH155" s="14"/>
      <c r="IXI155" s="14"/>
      <c r="IXJ155" s="14"/>
      <c r="IXK155" s="14"/>
      <c r="IXL155" s="14"/>
      <c r="IXM155" s="14"/>
      <c r="IXN155" s="14"/>
      <c r="IXO155" s="14"/>
      <c r="IXP155" s="14"/>
      <c r="IXQ155" s="14"/>
      <c r="IXR155" s="14"/>
      <c r="IXS155" s="14"/>
      <c r="IXT155" s="14"/>
      <c r="IXU155" s="14"/>
      <c r="IXV155" s="14"/>
      <c r="IXW155" s="14"/>
      <c r="IXX155" s="14"/>
      <c r="IXY155" s="14"/>
      <c r="IXZ155" s="14"/>
      <c r="IYA155" s="14"/>
      <c r="IYB155" s="14"/>
      <c r="IYC155" s="14"/>
      <c r="IYD155" s="14"/>
      <c r="IYE155" s="14"/>
      <c r="IYF155" s="14"/>
      <c r="IYG155" s="14"/>
      <c r="IYH155" s="14"/>
      <c r="IYI155" s="14"/>
      <c r="IYJ155" s="14"/>
      <c r="IYK155" s="14"/>
      <c r="IYL155" s="14"/>
      <c r="IYM155" s="14"/>
      <c r="IYN155" s="14"/>
      <c r="IYO155" s="14"/>
      <c r="IYP155" s="14"/>
      <c r="IYQ155" s="14"/>
      <c r="IYR155" s="14"/>
      <c r="IYS155" s="14"/>
      <c r="IYT155" s="14"/>
      <c r="IYU155" s="14"/>
      <c r="IYV155" s="14"/>
      <c r="IYW155" s="14"/>
      <c r="IYX155" s="14"/>
      <c r="IYY155" s="14"/>
      <c r="IYZ155" s="14"/>
      <c r="IZA155" s="14"/>
      <c r="IZB155" s="14"/>
      <c r="IZC155" s="14"/>
      <c r="IZD155" s="14"/>
      <c r="IZE155" s="14"/>
      <c r="IZF155" s="14"/>
      <c r="IZG155" s="14"/>
      <c r="IZH155" s="14"/>
      <c r="IZI155" s="14"/>
      <c r="IZJ155" s="14"/>
      <c r="IZK155" s="14"/>
      <c r="IZL155" s="14"/>
      <c r="IZM155" s="14"/>
      <c r="IZN155" s="14"/>
      <c r="IZO155" s="14"/>
      <c r="IZP155" s="14"/>
      <c r="IZQ155" s="14"/>
      <c r="IZR155" s="14"/>
      <c r="IZS155" s="14"/>
      <c r="IZT155" s="14"/>
      <c r="IZU155" s="14"/>
      <c r="IZV155" s="14"/>
      <c r="IZW155" s="14"/>
      <c r="IZX155" s="14"/>
      <c r="IZY155" s="14"/>
      <c r="IZZ155" s="14"/>
      <c r="JAA155" s="14"/>
      <c r="JAB155" s="14"/>
      <c r="JAC155" s="14"/>
      <c r="JAD155" s="14"/>
      <c r="JAE155" s="14"/>
      <c r="JAF155" s="14"/>
      <c r="JAG155" s="14"/>
      <c r="JAH155" s="14"/>
      <c r="JAI155" s="14"/>
      <c r="JAJ155" s="14"/>
      <c r="JAK155" s="14"/>
      <c r="JAL155" s="14"/>
      <c r="JAM155" s="14"/>
      <c r="JAN155" s="14"/>
      <c r="JAO155" s="14"/>
      <c r="JAP155" s="14"/>
      <c r="JAQ155" s="14"/>
      <c r="JAR155" s="14"/>
      <c r="JAS155" s="14"/>
      <c r="JAT155" s="14"/>
      <c r="JAU155" s="14"/>
      <c r="JAV155" s="14"/>
      <c r="JAW155" s="14"/>
      <c r="JAX155" s="14"/>
      <c r="JAY155" s="14"/>
      <c r="JAZ155" s="14"/>
      <c r="JBA155" s="14"/>
      <c r="JBB155" s="14"/>
      <c r="JBC155" s="14"/>
      <c r="JBD155" s="14"/>
      <c r="JBE155" s="14"/>
      <c r="JBF155" s="14"/>
      <c r="JBG155" s="14"/>
      <c r="JBH155" s="14"/>
      <c r="JBI155" s="14"/>
      <c r="JBJ155" s="14"/>
      <c r="JBK155" s="14"/>
      <c r="JBL155" s="14"/>
      <c r="JBM155" s="14"/>
      <c r="JBN155" s="14"/>
      <c r="JBO155" s="14"/>
      <c r="JBP155" s="14"/>
      <c r="JBQ155" s="14"/>
      <c r="JBR155" s="14"/>
      <c r="JBS155" s="14"/>
      <c r="JBT155" s="14"/>
      <c r="JBU155" s="14"/>
      <c r="JBV155" s="14"/>
      <c r="JBW155" s="14"/>
      <c r="JBX155" s="14"/>
      <c r="JBY155" s="14"/>
      <c r="JBZ155" s="14"/>
      <c r="JCA155" s="14"/>
      <c r="JCB155" s="14"/>
      <c r="JCC155" s="14"/>
      <c r="JCD155" s="14"/>
      <c r="JCE155" s="14"/>
      <c r="JCF155" s="14"/>
      <c r="JCG155" s="14"/>
      <c r="JCH155" s="14"/>
      <c r="JCI155" s="14"/>
      <c r="JCJ155" s="14"/>
      <c r="JCK155" s="14"/>
      <c r="JCL155" s="14"/>
      <c r="JCM155" s="14"/>
      <c r="JCN155" s="14"/>
      <c r="JCO155" s="14"/>
      <c r="JCP155" s="14"/>
      <c r="JCQ155" s="14"/>
      <c r="JCR155" s="14"/>
      <c r="JCS155" s="14"/>
      <c r="JCT155" s="14"/>
      <c r="JCU155" s="14"/>
      <c r="JCV155" s="14"/>
      <c r="JCW155" s="14"/>
      <c r="JCX155" s="14"/>
      <c r="JCY155" s="14"/>
      <c r="JCZ155" s="14"/>
      <c r="JDA155" s="14"/>
      <c r="JDB155" s="14"/>
      <c r="JDC155" s="14"/>
      <c r="JDD155" s="14"/>
      <c r="JDE155" s="14"/>
      <c r="JDF155" s="14"/>
      <c r="JDG155" s="14"/>
      <c r="JDH155" s="14"/>
      <c r="JDI155" s="14"/>
      <c r="JDJ155" s="14"/>
      <c r="JDK155" s="14"/>
      <c r="JDL155" s="14"/>
      <c r="JDM155" s="14"/>
      <c r="JDN155" s="14"/>
      <c r="JDO155" s="14"/>
      <c r="JDP155" s="14"/>
      <c r="JDQ155" s="14"/>
      <c r="JDR155" s="14"/>
      <c r="JDS155" s="14"/>
      <c r="JDT155" s="14"/>
      <c r="JDU155" s="14"/>
      <c r="JDV155" s="14"/>
      <c r="JDW155" s="14"/>
      <c r="JDX155" s="14"/>
      <c r="JDY155" s="14"/>
      <c r="JDZ155" s="14"/>
      <c r="JEA155" s="14"/>
      <c r="JEB155" s="14"/>
      <c r="JEC155" s="14"/>
      <c r="JED155" s="14"/>
      <c r="JEE155" s="14"/>
      <c r="JEF155" s="14"/>
      <c r="JEG155" s="14"/>
      <c r="JEH155" s="14"/>
      <c r="JEI155" s="14"/>
      <c r="JEJ155" s="14"/>
      <c r="JEK155" s="14"/>
      <c r="JEL155" s="14"/>
      <c r="JEM155" s="14"/>
      <c r="JEN155" s="14"/>
      <c r="JEO155" s="14"/>
      <c r="JEP155" s="14"/>
      <c r="JEQ155" s="14"/>
      <c r="JER155" s="14"/>
      <c r="JES155" s="14"/>
      <c r="JET155" s="14"/>
      <c r="JEU155" s="14"/>
      <c r="JEV155" s="14"/>
      <c r="JEW155" s="14"/>
      <c r="JEX155" s="14"/>
      <c r="JEY155" s="14"/>
      <c r="JEZ155" s="14"/>
      <c r="JFA155" s="14"/>
      <c r="JFB155" s="14"/>
      <c r="JFC155" s="14"/>
      <c r="JFD155" s="14"/>
      <c r="JFE155" s="14"/>
      <c r="JFF155" s="14"/>
      <c r="JFG155" s="14"/>
      <c r="JFH155" s="14"/>
      <c r="JFI155" s="14"/>
      <c r="JFJ155" s="14"/>
      <c r="JFK155" s="14"/>
      <c r="JFL155" s="14"/>
      <c r="JFM155" s="14"/>
      <c r="JFN155" s="14"/>
      <c r="JFO155" s="14"/>
      <c r="JFP155" s="14"/>
      <c r="JFQ155" s="14"/>
      <c r="JFR155" s="14"/>
      <c r="JFS155" s="14"/>
      <c r="JFT155" s="14"/>
      <c r="JFU155" s="14"/>
      <c r="JFV155" s="14"/>
      <c r="JFW155" s="14"/>
      <c r="JFX155" s="14"/>
      <c r="JFY155" s="14"/>
      <c r="JFZ155" s="14"/>
      <c r="JGA155" s="14"/>
      <c r="JGB155" s="14"/>
      <c r="JGC155" s="14"/>
      <c r="JGD155" s="14"/>
      <c r="JGE155" s="14"/>
      <c r="JGF155" s="14"/>
      <c r="JGG155" s="14"/>
      <c r="JGH155" s="14"/>
      <c r="JGI155" s="14"/>
      <c r="JGJ155" s="14"/>
      <c r="JGK155" s="14"/>
      <c r="JGL155" s="14"/>
      <c r="JGM155" s="14"/>
      <c r="JGN155" s="14"/>
      <c r="JGO155" s="14"/>
      <c r="JGP155" s="14"/>
      <c r="JGQ155" s="14"/>
      <c r="JGR155" s="14"/>
      <c r="JGS155" s="14"/>
      <c r="JGT155" s="14"/>
      <c r="JGU155" s="14"/>
      <c r="JGV155" s="14"/>
      <c r="JGW155" s="14"/>
      <c r="JGX155" s="14"/>
      <c r="JGY155" s="14"/>
      <c r="JGZ155" s="14"/>
      <c r="JHA155" s="14"/>
      <c r="JHB155" s="14"/>
      <c r="JHC155" s="14"/>
      <c r="JHD155" s="14"/>
      <c r="JHE155" s="14"/>
      <c r="JHF155" s="14"/>
      <c r="JHG155" s="14"/>
      <c r="JHH155" s="14"/>
      <c r="JHI155" s="14"/>
      <c r="JHJ155" s="14"/>
      <c r="JHK155" s="14"/>
      <c r="JHL155" s="14"/>
      <c r="JHM155" s="14"/>
      <c r="JHN155" s="14"/>
      <c r="JHO155" s="14"/>
      <c r="JHP155" s="14"/>
      <c r="JHQ155" s="14"/>
      <c r="JHR155" s="14"/>
      <c r="JHS155" s="14"/>
      <c r="JHT155" s="14"/>
      <c r="JHU155" s="14"/>
      <c r="JHV155" s="14"/>
      <c r="JHW155" s="14"/>
      <c r="JHX155" s="14"/>
      <c r="JHY155" s="14"/>
      <c r="JHZ155" s="14"/>
      <c r="JIA155" s="14"/>
      <c r="JIB155" s="14"/>
      <c r="JIC155" s="14"/>
      <c r="JID155" s="14"/>
      <c r="JIE155" s="14"/>
      <c r="JIF155" s="14"/>
      <c r="JIG155" s="14"/>
      <c r="JIH155" s="14"/>
      <c r="JII155" s="14"/>
      <c r="JIJ155" s="14"/>
      <c r="JIK155" s="14"/>
      <c r="JIL155" s="14"/>
      <c r="JIM155" s="14"/>
      <c r="JIN155" s="14"/>
      <c r="JIO155" s="14"/>
      <c r="JIP155" s="14"/>
      <c r="JIQ155" s="14"/>
      <c r="JIR155" s="14"/>
      <c r="JIS155" s="14"/>
      <c r="JIT155" s="14"/>
      <c r="JIU155" s="14"/>
      <c r="JIV155" s="14"/>
      <c r="JIW155" s="14"/>
      <c r="JIX155" s="14"/>
      <c r="JIY155" s="14"/>
      <c r="JIZ155" s="14"/>
      <c r="JJA155" s="14"/>
      <c r="JJB155" s="14"/>
      <c r="JJC155" s="14"/>
      <c r="JJD155" s="14"/>
      <c r="JJE155" s="14"/>
      <c r="JJF155" s="14"/>
      <c r="JJG155" s="14"/>
      <c r="JJH155" s="14"/>
      <c r="JJI155" s="14"/>
      <c r="JJJ155" s="14"/>
      <c r="JJK155" s="14"/>
      <c r="JJL155" s="14"/>
      <c r="JJM155" s="14"/>
      <c r="JJN155" s="14"/>
      <c r="JJO155" s="14"/>
      <c r="JJP155" s="14"/>
      <c r="JJQ155" s="14"/>
      <c r="JJR155" s="14"/>
      <c r="JJS155" s="14"/>
      <c r="JJT155" s="14"/>
      <c r="JJU155" s="14"/>
      <c r="JJV155" s="14"/>
      <c r="JJW155" s="14"/>
      <c r="JJX155" s="14"/>
      <c r="JJY155" s="14"/>
      <c r="JJZ155" s="14"/>
      <c r="JKA155" s="14"/>
      <c r="JKB155" s="14"/>
      <c r="JKC155" s="14"/>
      <c r="JKD155" s="14"/>
      <c r="JKE155" s="14"/>
      <c r="JKF155" s="14"/>
      <c r="JKG155" s="14"/>
      <c r="JKH155" s="14"/>
      <c r="JKI155" s="14"/>
      <c r="JKJ155" s="14"/>
      <c r="JKK155" s="14"/>
      <c r="JKL155" s="14"/>
      <c r="JKM155" s="14"/>
      <c r="JKN155" s="14"/>
      <c r="JKO155" s="14"/>
      <c r="JKP155" s="14"/>
      <c r="JKQ155" s="14"/>
      <c r="JKR155" s="14"/>
      <c r="JKS155" s="14"/>
      <c r="JKT155" s="14"/>
      <c r="JKU155" s="14"/>
      <c r="JKV155" s="14"/>
      <c r="JKW155" s="14"/>
      <c r="JKX155" s="14"/>
      <c r="JKY155" s="14"/>
      <c r="JKZ155" s="14"/>
      <c r="JLA155" s="14"/>
      <c r="JLB155" s="14"/>
      <c r="JLC155" s="14"/>
      <c r="JLD155" s="14"/>
      <c r="JLE155" s="14"/>
      <c r="JLF155" s="14"/>
      <c r="JLG155" s="14"/>
      <c r="JLH155" s="14"/>
      <c r="JLI155" s="14"/>
      <c r="JLJ155" s="14"/>
      <c r="JLK155" s="14"/>
      <c r="JLL155" s="14"/>
      <c r="JLM155" s="14"/>
      <c r="JLN155" s="14"/>
      <c r="JLO155" s="14"/>
      <c r="JLP155" s="14"/>
      <c r="JLQ155" s="14"/>
      <c r="JLR155" s="14"/>
      <c r="JLS155" s="14"/>
      <c r="JLT155" s="14"/>
      <c r="JLU155" s="14"/>
      <c r="JLV155" s="14"/>
      <c r="JLW155" s="14"/>
      <c r="JLX155" s="14"/>
      <c r="JLY155" s="14"/>
      <c r="JLZ155" s="14"/>
      <c r="JMA155" s="14"/>
      <c r="JMB155" s="14"/>
      <c r="JMC155" s="14"/>
      <c r="JMD155" s="14"/>
      <c r="JME155" s="14"/>
      <c r="JMF155" s="14"/>
      <c r="JMG155" s="14"/>
      <c r="JMH155" s="14"/>
      <c r="JMI155" s="14"/>
      <c r="JMJ155" s="14"/>
      <c r="JMK155" s="14"/>
      <c r="JML155" s="14"/>
      <c r="JMM155" s="14"/>
      <c r="JMN155" s="14"/>
      <c r="JMO155" s="14"/>
      <c r="JMP155" s="14"/>
      <c r="JMQ155" s="14"/>
      <c r="JMR155" s="14"/>
      <c r="JMS155" s="14"/>
      <c r="JMT155" s="14"/>
      <c r="JMU155" s="14"/>
      <c r="JMV155" s="14"/>
      <c r="JMW155" s="14"/>
      <c r="JMX155" s="14"/>
      <c r="JMY155" s="14"/>
      <c r="JMZ155" s="14"/>
      <c r="JNA155" s="14"/>
      <c r="JNB155" s="14"/>
      <c r="JNC155" s="14"/>
      <c r="JND155" s="14"/>
      <c r="JNE155" s="14"/>
      <c r="JNF155" s="14"/>
      <c r="JNG155" s="14"/>
      <c r="JNH155" s="14"/>
      <c r="JNI155" s="14"/>
      <c r="JNJ155" s="14"/>
      <c r="JNK155" s="14"/>
      <c r="JNL155" s="14"/>
      <c r="JNM155" s="14"/>
      <c r="JNN155" s="14"/>
      <c r="JNO155" s="14"/>
      <c r="JNP155" s="14"/>
      <c r="JNQ155" s="14"/>
      <c r="JNR155" s="14"/>
      <c r="JNS155" s="14"/>
      <c r="JNT155" s="14"/>
      <c r="JNU155" s="14"/>
      <c r="JNV155" s="14"/>
      <c r="JNW155" s="14"/>
      <c r="JNX155" s="14"/>
      <c r="JNY155" s="14"/>
      <c r="JNZ155" s="14"/>
      <c r="JOA155" s="14"/>
      <c r="JOB155" s="14"/>
      <c r="JOC155" s="14"/>
      <c r="JOD155" s="14"/>
      <c r="JOE155" s="14"/>
      <c r="JOF155" s="14"/>
      <c r="JOG155" s="14"/>
      <c r="JOH155" s="14"/>
      <c r="JOI155" s="14"/>
      <c r="JOJ155" s="14"/>
      <c r="JOK155" s="14"/>
      <c r="JOL155" s="14"/>
      <c r="JOM155" s="14"/>
      <c r="JON155" s="14"/>
      <c r="JOO155" s="14"/>
      <c r="JOP155" s="14"/>
      <c r="JOQ155" s="14"/>
      <c r="JOR155" s="14"/>
      <c r="JOS155" s="14"/>
      <c r="JOT155" s="14"/>
      <c r="JOU155" s="14"/>
      <c r="JOV155" s="14"/>
      <c r="JOW155" s="14"/>
      <c r="JOX155" s="14"/>
      <c r="JOY155" s="14"/>
      <c r="JOZ155" s="14"/>
      <c r="JPA155" s="14"/>
      <c r="JPB155" s="14"/>
      <c r="JPC155" s="14"/>
      <c r="JPD155" s="14"/>
      <c r="JPE155" s="14"/>
      <c r="JPF155" s="14"/>
      <c r="JPG155" s="14"/>
      <c r="JPH155" s="14"/>
      <c r="JPI155" s="14"/>
      <c r="JPJ155" s="14"/>
      <c r="JPK155" s="14"/>
      <c r="JPL155" s="14"/>
      <c r="JPM155" s="14"/>
      <c r="JPN155" s="14"/>
      <c r="JPO155" s="14"/>
      <c r="JPP155" s="14"/>
      <c r="JPQ155" s="14"/>
      <c r="JPR155" s="14"/>
      <c r="JPS155" s="14"/>
      <c r="JPT155" s="14"/>
      <c r="JPU155" s="14"/>
      <c r="JPV155" s="14"/>
      <c r="JPW155" s="14"/>
      <c r="JPX155" s="14"/>
      <c r="JPY155" s="14"/>
      <c r="JPZ155" s="14"/>
      <c r="JQA155" s="14"/>
      <c r="JQB155" s="14"/>
      <c r="JQC155" s="14"/>
      <c r="JQD155" s="14"/>
      <c r="JQE155" s="14"/>
      <c r="JQF155" s="14"/>
      <c r="JQG155" s="14"/>
      <c r="JQH155" s="14"/>
      <c r="JQI155" s="14"/>
      <c r="JQJ155" s="14"/>
      <c r="JQK155" s="14"/>
      <c r="JQL155" s="14"/>
      <c r="JQM155" s="14"/>
      <c r="JQN155" s="14"/>
      <c r="JQO155" s="14"/>
      <c r="JQP155" s="14"/>
      <c r="JQQ155" s="14"/>
      <c r="JQR155" s="14"/>
      <c r="JQS155" s="14"/>
      <c r="JQT155" s="14"/>
      <c r="JQU155" s="14"/>
      <c r="JQV155" s="14"/>
      <c r="JQW155" s="14"/>
      <c r="JQX155" s="14"/>
      <c r="JQY155" s="14"/>
      <c r="JQZ155" s="14"/>
      <c r="JRA155" s="14"/>
      <c r="JRB155" s="14"/>
      <c r="JRC155" s="14"/>
      <c r="JRD155" s="14"/>
      <c r="JRE155" s="14"/>
      <c r="JRF155" s="14"/>
      <c r="JRG155" s="14"/>
      <c r="JRH155" s="14"/>
      <c r="JRI155" s="14"/>
      <c r="JRJ155" s="14"/>
      <c r="JRK155" s="14"/>
      <c r="JRL155" s="14"/>
      <c r="JRM155" s="14"/>
      <c r="JRN155" s="14"/>
      <c r="JRO155" s="14"/>
      <c r="JRP155" s="14"/>
      <c r="JRQ155" s="14"/>
      <c r="JRR155" s="14"/>
      <c r="JRS155" s="14"/>
      <c r="JRT155" s="14"/>
      <c r="JRU155" s="14"/>
      <c r="JRV155" s="14"/>
      <c r="JRW155" s="14"/>
      <c r="JRX155" s="14"/>
      <c r="JRY155" s="14"/>
      <c r="JRZ155" s="14"/>
      <c r="JSA155" s="14"/>
      <c r="JSB155" s="14"/>
      <c r="JSC155" s="14"/>
      <c r="JSD155" s="14"/>
      <c r="JSE155" s="14"/>
      <c r="JSF155" s="14"/>
      <c r="JSG155" s="14"/>
      <c r="JSH155" s="14"/>
      <c r="JSI155" s="14"/>
      <c r="JSJ155" s="14"/>
      <c r="JSK155" s="14"/>
      <c r="JSL155" s="14"/>
      <c r="JSM155" s="14"/>
      <c r="JSN155" s="14"/>
      <c r="JSO155" s="14"/>
      <c r="JSP155" s="14"/>
      <c r="JSQ155" s="14"/>
      <c r="JSR155" s="14"/>
      <c r="JSS155" s="14"/>
      <c r="JST155" s="14"/>
      <c r="JSU155" s="14"/>
      <c r="JSV155" s="14"/>
      <c r="JSW155" s="14"/>
      <c r="JSX155" s="14"/>
      <c r="JSY155" s="14"/>
      <c r="JSZ155" s="14"/>
      <c r="JTA155" s="14"/>
      <c r="JTB155" s="14"/>
      <c r="JTC155" s="14"/>
      <c r="JTD155" s="14"/>
      <c r="JTE155" s="14"/>
      <c r="JTF155" s="14"/>
      <c r="JTG155" s="14"/>
      <c r="JTH155" s="14"/>
      <c r="JTI155" s="14"/>
      <c r="JTJ155" s="14"/>
      <c r="JTK155" s="14"/>
      <c r="JTL155" s="14"/>
      <c r="JTM155" s="14"/>
      <c r="JTN155" s="14"/>
      <c r="JTO155" s="14"/>
      <c r="JTP155" s="14"/>
      <c r="JTQ155" s="14"/>
      <c r="JTR155" s="14"/>
      <c r="JTS155" s="14"/>
      <c r="JTT155" s="14"/>
      <c r="JTU155" s="14"/>
      <c r="JTV155" s="14"/>
      <c r="JTW155" s="14"/>
      <c r="JTX155" s="14"/>
      <c r="JTY155" s="14"/>
      <c r="JTZ155" s="14"/>
      <c r="JUA155" s="14"/>
      <c r="JUB155" s="14"/>
      <c r="JUC155" s="14"/>
      <c r="JUD155" s="14"/>
      <c r="JUE155" s="14"/>
      <c r="JUF155" s="14"/>
      <c r="JUG155" s="14"/>
      <c r="JUH155" s="14"/>
      <c r="JUI155" s="14"/>
      <c r="JUJ155" s="14"/>
      <c r="JUK155" s="14"/>
      <c r="JUL155" s="14"/>
      <c r="JUM155" s="14"/>
      <c r="JUN155" s="14"/>
      <c r="JUO155" s="14"/>
      <c r="JUP155" s="14"/>
      <c r="JUQ155" s="14"/>
      <c r="JUR155" s="14"/>
      <c r="JUS155" s="14"/>
      <c r="JUT155" s="14"/>
      <c r="JUU155" s="14"/>
      <c r="JUV155" s="14"/>
      <c r="JUW155" s="14"/>
      <c r="JUX155" s="14"/>
      <c r="JUY155" s="14"/>
      <c r="JUZ155" s="14"/>
      <c r="JVA155" s="14"/>
      <c r="JVB155" s="14"/>
      <c r="JVC155" s="14"/>
      <c r="JVD155" s="14"/>
      <c r="JVE155" s="14"/>
      <c r="JVF155" s="14"/>
      <c r="JVG155" s="14"/>
      <c r="JVH155" s="14"/>
      <c r="JVI155" s="14"/>
      <c r="JVJ155" s="14"/>
      <c r="JVK155" s="14"/>
      <c r="JVL155" s="14"/>
      <c r="JVM155" s="14"/>
      <c r="JVN155" s="14"/>
      <c r="JVO155" s="14"/>
      <c r="JVP155" s="14"/>
      <c r="JVQ155" s="14"/>
      <c r="JVR155" s="14"/>
      <c r="JVS155" s="14"/>
      <c r="JVT155" s="14"/>
      <c r="JVU155" s="14"/>
      <c r="JVV155" s="14"/>
      <c r="JVW155" s="14"/>
      <c r="JVX155" s="14"/>
      <c r="JVY155" s="14"/>
      <c r="JVZ155" s="14"/>
      <c r="JWA155" s="14"/>
      <c r="JWB155" s="14"/>
      <c r="JWC155" s="14"/>
      <c r="JWD155" s="14"/>
      <c r="JWE155" s="14"/>
      <c r="JWF155" s="14"/>
      <c r="JWG155" s="14"/>
      <c r="JWH155" s="14"/>
      <c r="JWI155" s="14"/>
      <c r="JWJ155" s="14"/>
      <c r="JWK155" s="14"/>
      <c r="JWL155" s="14"/>
      <c r="JWM155" s="14"/>
      <c r="JWN155" s="14"/>
      <c r="JWO155" s="14"/>
      <c r="JWP155" s="14"/>
      <c r="JWQ155" s="14"/>
      <c r="JWR155" s="14"/>
      <c r="JWS155" s="14"/>
      <c r="JWT155" s="14"/>
      <c r="JWU155" s="14"/>
      <c r="JWV155" s="14"/>
      <c r="JWW155" s="14"/>
      <c r="JWX155" s="14"/>
      <c r="JWY155" s="14"/>
      <c r="JWZ155" s="14"/>
      <c r="JXA155" s="14"/>
      <c r="JXB155" s="14"/>
      <c r="JXC155" s="14"/>
      <c r="JXD155" s="14"/>
      <c r="JXE155" s="14"/>
      <c r="JXF155" s="14"/>
      <c r="JXG155" s="14"/>
      <c r="JXH155" s="14"/>
      <c r="JXI155" s="14"/>
      <c r="JXJ155" s="14"/>
      <c r="JXK155" s="14"/>
      <c r="JXL155" s="14"/>
      <c r="JXM155" s="14"/>
      <c r="JXN155" s="14"/>
      <c r="JXO155" s="14"/>
      <c r="JXP155" s="14"/>
      <c r="JXQ155" s="14"/>
      <c r="JXR155" s="14"/>
      <c r="JXS155" s="14"/>
      <c r="JXT155" s="14"/>
      <c r="JXU155" s="14"/>
      <c r="JXV155" s="14"/>
      <c r="JXW155" s="14"/>
      <c r="JXX155" s="14"/>
      <c r="JXY155" s="14"/>
      <c r="JXZ155" s="14"/>
      <c r="JYA155" s="14"/>
      <c r="JYB155" s="14"/>
      <c r="JYC155" s="14"/>
      <c r="JYD155" s="14"/>
      <c r="JYE155" s="14"/>
      <c r="JYF155" s="14"/>
      <c r="JYG155" s="14"/>
      <c r="JYH155" s="14"/>
      <c r="JYI155" s="14"/>
      <c r="JYJ155" s="14"/>
      <c r="JYK155" s="14"/>
      <c r="JYL155" s="14"/>
      <c r="JYM155" s="14"/>
      <c r="JYN155" s="14"/>
      <c r="JYO155" s="14"/>
      <c r="JYP155" s="14"/>
      <c r="JYQ155" s="14"/>
      <c r="JYR155" s="14"/>
      <c r="JYS155" s="14"/>
      <c r="JYT155" s="14"/>
      <c r="JYU155" s="14"/>
      <c r="JYV155" s="14"/>
      <c r="JYW155" s="14"/>
      <c r="JYX155" s="14"/>
      <c r="JYY155" s="14"/>
      <c r="JYZ155" s="14"/>
      <c r="JZA155" s="14"/>
      <c r="JZB155" s="14"/>
      <c r="JZC155" s="14"/>
      <c r="JZD155" s="14"/>
      <c r="JZE155" s="14"/>
      <c r="JZF155" s="14"/>
      <c r="JZG155" s="14"/>
      <c r="JZH155" s="14"/>
      <c r="JZI155" s="14"/>
      <c r="JZJ155" s="14"/>
      <c r="JZK155" s="14"/>
      <c r="JZL155" s="14"/>
      <c r="JZM155" s="14"/>
      <c r="JZN155" s="14"/>
      <c r="JZO155" s="14"/>
      <c r="JZP155" s="14"/>
      <c r="JZQ155" s="14"/>
      <c r="JZR155" s="14"/>
      <c r="JZS155" s="14"/>
      <c r="JZT155" s="14"/>
      <c r="JZU155" s="14"/>
      <c r="JZV155" s="14"/>
      <c r="JZW155" s="14"/>
      <c r="JZX155" s="14"/>
      <c r="JZY155" s="14"/>
      <c r="JZZ155" s="14"/>
      <c r="KAA155" s="14"/>
      <c r="KAB155" s="14"/>
      <c r="KAC155" s="14"/>
      <c r="KAD155" s="14"/>
      <c r="KAE155" s="14"/>
      <c r="KAF155" s="14"/>
      <c r="KAG155" s="14"/>
      <c r="KAH155" s="14"/>
      <c r="KAI155" s="14"/>
      <c r="KAJ155" s="14"/>
      <c r="KAK155" s="14"/>
      <c r="KAL155" s="14"/>
      <c r="KAM155" s="14"/>
      <c r="KAN155" s="14"/>
      <c r="KAO155" s="14"/>
      <c r="KAP155" s="14"/>
      <c r="KAQ155" s="14"/>
      <c r="KAR155" s="14"/>
      <c r="KAS155" s="14"/>
      <c r="KAT155" s="14"/>
      <c r="KAU155" s="14"/>
      <c r="KAV155" s="14"/>
      <c r="KAW155" s="14"/>
      <c r="KAX155" s="14"/>
      <c r="KAY155" s="14"/>
      <c r="KAZ155" s="14"/>
      <c r="KBA155" s="14"/>
      <c r="KBB155" s="14"/>
      <c r="KBC155" s="14"/>
      <c r="KBD155" s="14"/>
      <c r="KBE155" s="14"/>
      <c r="KBF155" s="14"/>
      <c r="KBG155" s="14"/>
      <c r="KBH155" s="14"/>
      <c r="KBI155" s="14"/>
      <c r="KBJ155" s="14"/>
      <c r="KBK155" s="14"/>
      <c r="KBL155" s="14"/>
      <c r="KBM155" s="14"/>
      <c r="KBN155" s="14"/>
      <c r="KBO155" s="14"/>
      <c r="KBP155" s="14"/>
      <c r="KBQ155" s="14"/>
      <c r="KBR155" s="14"/>
      <c r="KBS155" s="14"/>
      <c r="KBT155" s="14"/>
      <c r="KBU155" s="14"/>
      <c r="KBV155" s="14"/>
      <c r="KBW155" s="14"/>
      <c r="KBX155" s="14"/>
      <c r="KBY155" s="14"/>
      <c r="KBZ155" s="14"/>
      <c r="KCA155" s="14"/>
      <c r="KCB155" s="14"/>
      <c r="KCC155" s="14"/>
      <c r="KCD155" s="14"/>
      <c r="KCE155" s="14"/>
      <c r="KCF155" s="14"/>
      <c r="KCG155" s="14"/>
      <c r="KCH155" s="14"/>
      <c r="KCI155" s="14"/>
      <c r="KCJ155" s="14"/>
      <c r="KCK155" s="14"/>
      <c r="KCL155" s="14"/>
      <c r="KCM155" s="14"/>
      <c r="KCN155" s="14"/>
      <c r="KCO155" s="14"/>
      <c r="KCP155" s="14"/>
      <c r="KCQ155" s="14"/>
      <c r="KCR155" s="14"/>
      <c r="KCS155" s="14"/>
      <c r="KCT155" s="14"/>
      <c r="KCU155" s="14"/>
      <c r="KCV155" s="14"/>
      <c r="KCW155" s="14"/>
      <c r="KCX155" s="14"/>
      <c r="KCY155" s="14"/>
      <c r="KCZ155" s="14"/>
      <c r="KDA155" s="14"/>
      <c r="KDB155" s="14"/>
      <c r="KDC155" s="14"/>
      <c r="KDD155" s="14"/>
      <c r="KDE155" s="14"/>
      <c r="KDF155" s="14"/>
      <c r="KDG155" s="14"/>
      <c r="KDH155" s="14"/>
      <c r="KDI155" s="14"/>
      <c r="KDJ155" s="14"/>
      <c r="KDK155" s="14"/>
      <c r="KDL155" s="14"/>
      <c r="KDM155" s="14"/>
      <c r="KDN155" s="14"/>
      <c r="KDO155" s="14"/>
      <c r="KDP155" s="14"/>
      <c r="KDQ155" s="14"/>
      <c r="KDR155" s="14"/>
      <c r="KDS155" s="14"/>
      <c r="KDT155" s="14"/>
      <c r="KDU155" s="14"/>
      <c r="KDV155" s="14"/>
      <c r="KDW155" s="14"/>
      <c r="KDX155" s="14"/>
      <c r="KDY155" s="14"/>
      <c r="KDZ155" s="14"/>
      <c r="KEA155" s="14"/>
      <c r="KEB155" s="14"/>
      <c r="KEC155" s="14"/>
      <c r="KED155" s="14"/>
      <c r="KEE155" s="14"/>
      <c r="KEF155" s="14"/>
      <c r="KEG155" s="14"/>
      <c r="KEH155" s="14"/>
      <c r="KEI155" s="14"/>
      <c r="KEJ155" s="14"/>
      <c r="KEK155" s="14"/>
      <c r="KEL155" s="14"/>
      <c r="KEM155" s="14"/>
      <c r="KEN155" s="14"/>
      <c r="KEO155" s="14"/>
      <c r="KEP155" s="14"/>
      <c r="KEQ155" s="14"/>
      <c r="KER155" s="14"/>
      <c r="KES155" s="14"/>
      <c r="KET155" s="14"/>
      <c r="KEU155" s="14"/>
      <c r="KEV155" s="14"/>
      <c r="KEW155" s="14"/>
      <c r="KEX155" s="14"/>
      <c r="KEY155" s="14"/>
      <c r="KEZ155" s="14"/>
      <c r="KFA155" s="14"/>
      <c r="KFB155" s="14"/>
      <c r="KFC155" s="14"/>
      <c r="KFD155" s="14"/>
      <c r="KFE155" s="14"/>
      <c r="KFF155" s="14"/>
      <c r="KFG155" s="14"/>
      <c r="KFH155" s="14"/>
      <c r="KFI155" s="14"/>
      <c r="KFJ155" s="14"/>
      <c r="KFK155" s="14"/>
      <c r="KFL155" s="14"/>
      <c r="KFM155" s="14"/>
      <c r="KFN155" s="14"/>
      <c r="KFO155" s="14"/>
      <c r="KFP155" s="14"/>
      <c r="KFQ155" s="14"/>
      <c r="KFR155" s="14"/>
      <c r="KFS155" s="14"/>
      <c r="KFT155" s="14"/>
      <c r="KFU155" s="14"/>
      <c r="KFV155" s="14"/>
      <c r="KFW155" s="14"/>
      <c r="KFX155" s="14"/>
      <c r="KFY155" s="14"/>
      <c r="KFZ155" s="14"/>
      <c r="KGA155" s="14"/>
      <c r="KGB155" s="14"/>
      <c r="KGC155" s="14"/>
      <c r="KGD155" s="14"/>
      <c r="KGE155" s="14"/>
      <c r="KGF155" s="14"/>
      <c r="KGG155" s="14"/>
      <c r="KGH155" s="14"/>
      <c r="KGI155" s="14"/>
      <c r="KGJ155" s="14"/>
      <c r="KGK155" s="14"/>
      <c r="KGL155" s="14"/>
      <c r="KGM155" s="14"/>
      <c r="KGN155" s="14"/>
      <c r="KGO155" s="14"/>
      <c r="KGP155" s="14"/>
      <c r="KGQ155" s="14"/>
      <c r="KGR155" s="14"/>
      <c r="KGS155" s="14"/>
      <c r="KGT155" s="14"/>
      <c r="KGU155" s="14"/>
      <c r="KGV155" s="14"/>
      <c r="KGW155" s="14"/>
      <c r="KGX155" s="14"/>
      <c r="KGY155" s="14"/>
      <c r="KGZ155" s="14"/>
      <c r="KHA155" s="14"/>
      <c r="KHB155" s="14"/>
      <c r="KHC155" s="14"/>
      <c r="KHD155" s="14"/>
      <c r="KHE155" s="14"/>
      <c r="KHF155" s="14"/>
      <c r="KHG155" s="14"/>
      <c r="KHH155" s="14"/>
      <c r="KHI155" s="14"/>
      <c r="KHJ155" s="14"/>
      <c r="KHK155" s="14"/>
      <c r="KHL155" s="14"/>
      <c r="KHM155" s="14"/>
      <c r="KHN155" s="14"/>
      <c r="KHO155" s="14"/>
      <c r="KHP155" s="14"/>
      <c r="KHQ155" s="14"/>
      <c r="KHR155" s="14"/>
      <c r="KHS155" s="14"/>
      <c r="KHT155" s="14"/>
      <c r="KHU155" s="14"/>
      <c r="KHV155" s="14"/>
      <c r="KHW155" s="14"/>
      <c r="KHX155" s="14"/>
      <c r="KHY155" s="14"/>
      <c r="KHZ155" s="14"/>
      <c r="KIA155" s="14"/>
      <c r="KIB155" s="14"/>
      <c r="KIC155" s="14"/>
      <c r="KID155" s="14"/>
      <c r="KIE155" s="14"/>
      <c r="KIF155" s="14"/>
      <c r="KIG155" s="14"/>
      <c r="KIH155" s="14"/>
      <c r="KII155" s="14"/>
      <c r="KIJ155" s="14"/>
      <c r="KIK155" s="14"/>
      <c r="KIL155" s="14"/>
      <c r="KIM155" s="14"/>
      <c r="KIN155" s="14"/>
      <c r="KIO155" s="14"/>
      <c r="KIP155" s="14"/>
      <c r="KIQ155" s="14"/>
      <c r="KIR155" s="14"/>
      <c r="KIS155" s="14"/>
      <c r="KIT155" s="14"/>
      <c r="KIU155" s="14"/>
      <c r="KIV155" s="14"/>
      <c r="KIW155" s="14"/>
      <c r="KIX155" s="14"/>
      <c r="KIY155" s="14"/>
      <c r="KIZ155" s="14"/>
      <c r="KJA155" s="14"/>
      <c r="KJB155" s="14"/>
      <c r="KJC155" s="14"/>
      <c r="KJD155" s="14"/>
      <c r="KJE155" s="14"/>
      <c r="KJF155" s="14"/>
      <c r="KJG155" s="14"/>
      <c r="KJH155" s="14"/>
      <c r="KJI155" s="14"/>
      <c r="KJJ155" s="14"/>
      <c r="KJK155" s="14"/>
      <c r="KJL155" s="14"/>
      <c r="KJM155" s="14"/>
      <c r="KJN155" s="14"/>
      <c r="KJO155" s="14"/>
      <c r="KJP155" s="14"/>
      <c r="KJQ155" s="14"/>
      <c r="KJR155" s="14"/>
      <c r="KJS155" s="14"/>
      <c r="KJT155" s="14"/>
      <c r="KJU155" s="14"/>
      <c r="KJV155" s="14"/>
      <c r="KJW155" s="14"/>
      <c r="KJX155" s="14"/>
      <c r="KJY155" s="14"/>
      <c r="KJZ155" s="14"/>
      <c r="KKA155" s="14"/>
      <c r="KKB155" s="14"/>
      <c r="KKC155" s="14"/>
      <c r="KKD155" s="14"/>
      <c r="KKE155" s="14"/>
      <c r="KKF155" s="14"/>
      <c r="KKG155" s="14"/>
      <c r="KKH155" s="14"/>
      <c r="KKI155" s="14"/>
      <c r="KKJ155" s="14"/>
      <c r="KKK155" s="14"/>
      <c r="KKL155" s="14"/>
      <c r="KKM155" s="14"/>
      <c r="KKN155" s="14"/>
      <c r="KKO155" s="14"/>
      <c r="KKP155" s="14"/>
      <c r="KKQ155" s="14"/>
      <c r="KKR155" s="14"/>
      <c r="KKS155" s="14"/>
      <c r="KKT155" s="14"/>
      <c r="KKU155" s="14"/>
      <c r="KKV155" s="14"/>
      <c r="KKW155" s="14"/>
      <c r="KKX155" s="14"/>
      <c r="KKY155" s="14"/>
      <c r="KKZ155" s="14"/>
      <c r="KLA155" s="14"/>
      <c r="KLB155" s="14"/>
      <c r="KLC155" s="14"/>
      <c r="KLD155" s="14"/>
      <c r="KLE155" s="14"/>
      <c r="KLF155" s="14"/>
      <c r="KLG155" s="14"/>
      <c r="KLH155" s="14"/>
      <c r="KLI155" s="14"/>
      <c r="KLJ155" s="14"/>
      <c r="KLK155" s="14"/>
      <c r="KLL155" s="14"/>
      <c r="KLM155" s="14"/>
      <c r="KLN155" s="14"/>
      <c r="KLO155" s="14"/>
      <c r="KLP155" s="14"/>
      <c r="KLQ155" s="14"/>
      <c r="KLR155" s="14"/>
      <c r="KLS155" s="14"/>
      <c r="KLT155" s="14"/>
      <c r="KLU155" s="14"/>
      <c r="KLV155" s="14"/>
      <c r="KLW155" s="14"/>
      <c r="KLX155" s="14"/>
      <c r="KLY155" s="14"/>
      <c r="KLZ155" s="14"/>
      <c r="KMA155" s="14"/>
      <c r="KMB155" s="14"/>
      <c r="KMC155" s="14"/>
      <c r="KMD155" s="14"/>
      <c r="KME155" s="14"/>
      <c r="KMF155" s="14"/>
      <c r="KMG155" s="14"/>
      <c r="KMH155" s="14"/>
      <c r="KMI155" s="14"/>
      <c r="KMJ155" s="14"/>
      <c r="KMK155" s="14"/>
      <c r="KML155" s="14"/>
      <c r="KMM155" s="14"/>
      <c r="KMN155" s="14"/>
      <c r="KMO155" s="14"/>
      <c r="KMP155" s="14"/>
      <c r="KMQ155" s="14"/>
      <c r="KMR155" s="14"/>
      <c r="KMS155" s="14"/>
      <c r="KMT155" s="14"/>
      <c r="KMU155" s="14"/>
      <c r="KMV155" s="14"/>
      <c r="KMW155" s="14"/>
      <c r="KMX155" s="14"/>
      <c r="KMY155" s="14"/>
      <c r="KMZ155" s="14"/>
      <c r="KNA155" s="14"/>
      <c r="KNB155" s="14"/>
      <c r="KNC155" s="14"/>
      <c r="KND155" s="14"/>
      <c r="KNE155" s="14"/>
      <c r="KNF155" s="14"/>
      <c r="KNG155" s="14"/>
      <c r="KNH155" s="14"/>
      <c r="KNI155" s="14"/>
      <c r="KNJ155" s="14"/>
      <c r="KNK155" s="14"/>
      <c r="KNL155" s="14"/>
      <c r="KNM155" s="14"/>
      <c r="KNN155" s="14"/>
      <c r="KNO155" s="14"/>
      <c r="KNP155" s="14"/>
      <c r="KNQ155" s="14"/>
      <c r="KNR155" s="14"/>
      <c r="KNS155" s="14"/>
      <c r="KNT155" s="14"/>
      <c r="KNU155" s="14"/>
      <c r="KNV155" s="14"/>
      <c r="KNW155" s="14"/>
      <c r="KNX155" s="14"/>
      <c r="KNY155" s="14"/>
      <c r="KNZ155" s="14"/>
      <c r="KOA155" s="14"/>
      <c r="KOB155" s="14"/>
      <c r="KOC155" s="14"/>
      <c r="KOD155" s="14"/>
      <c r="KOE155" s="14"/>
      <c r="KOF155" s="14"/>
      <c r="KOG155" s="14"/>
      <c r="KOH155" s="14"/>
      <c r="KOI155" s="14"/>
      <c r="KOJ155" s="14"/>
      <c r="KOK155" s="14"/>
      <c r="KOL155" s="14"/>
      <c r="KOM155" s="14"/>
      <c r="KON155" s="14"/>
      <c r="KOO155" s="14"/>
      <c r="KOP155" s="14"/>
      <c r="KOQ155" s="14"/>
      <c r="KOR155" s="14"/>
      <c r="KOS155" s="14"/>
      <c r="KOT155" s="14"/>
      <c r="KOU155" s="14"/>
      <c r="KOV155" s="14"/>
      <c r="KOW155" s="14"/>
      <c r="KOX155" s="14"/>
      <c r="KOY155" s="14"/>
      <c r="KOZ155" s="14"/>
      <c r="KPA155" s="14"/>
      <c r="KPB155" s="14"/>
      <c r="KPC155" s="14"/>
      <c r="KPD155" s="14"/>
      <c r="KPE155" s="14"/>
      <c r="KPF155" s="14"/>
      <c r="KPG155" s="14"/>
      <c r="KPH155" s="14"/>
      <c r="KPI155" s="14"/>
      <c r="KPJ155" s="14"/>
      <c r="KPK155" s="14"/>
      <c r="KPL155" s="14"/>
      <c r="KPM155" s="14"/>
      <c r="KPN155" s="14"/>
      <c r="KPO155" s="14"/>
      <c r="KPP155" s="14"/>
      <c r="KPQ155" s="14"/>
      <c r="KPR155" s="14"/>
      <c r="KPS155" s="14"/>
      <c r="KPT155" s="14"/>
      <c r="KPU155" s="14"/>
      <c r="KPV155" s="14"/>
      <c r="KPW155" s="14"/>
      <c r="KPX155" s="14"/>
      <c r="KPY155" s="14"/>
      <c r="KPZ155" s="14"/>
      <c r="KQA155" s="14"/>
      <c r="KQB155" s="14"/>
      <c r="KQC155" s="14"/>
      <c r="KQD155" s="14"/>
      <c r="KQE155" s="14"/>
      <c r="KQF155" s="14"/>
      <c r="KQG155" s="14"/>
      <c r="KQH155" s="14"/>
      <c r="KQI155" s="14"/>
      <c r="KQJ155" s="14"/>
      <c r="KQK155" s="14"/>
      <c r="KQL155" s="14"/>
      <c r="KQM155" s="14"/>
      <c r="KQN155" s="14"/>
      <c r="KQO155" s="14"/>
      <c r="KQP155" s="14"/>
      <c r="KQQ155" s="14"/>
      <c r="KQR155" s="14"/>
      <c r="KQS155" s="14"/>
      <c r="KQT155" s="14"/>
      <c r="KQU155" s="14"/>
      <c r="KQV155" s="14"/>
      <c r="KQW155" s="14"/>
      <c r="KQX155" s="14"/>
      <c r="KQY155" s="14"/>
      <c r="KQZ155" s="14"/>
      <c r="KRA155" s="14"/>
      <c r="KRB155" s="14"/>
      <c r="KRC155" s="14"/>
      <c r="KRD155" s="14"/>
      <c r="KRE155" s="14"/>
      <c r="KRF155" s="14"/>
      <c r="KRG155" s="14"/>
      <c r="KRH155" s="14"/>
      <c r="KRI155" s="14"/>
      <c r="KRJ155" s="14"/>
      <c r="KRK155" s="14"/>
      <c r="KRL155" s="14"/>
      <c r="KRM155" s="14"/>
      <c r="KRN155" s="14"/>
      <c r="KRO155" s="14"/>
      <c r="KRP155" s="14"/>
      <c r="KRQ155" s="14"/>
      <c r="KRR155" s="14"/>
      <c r="KRS155" s="14"/>
      <c r="KRT155" s="14"/>
      <c r="KRU155" s="14"/>
      <c r="KRV155" s="14"/>
      <c r="KRW155" s="14"/>
      <c r="KRX155" s="14"/>
      <c r="KRY155" s="14"/>
      <c r="KRZ155" s="14"/>
      <c r="KSA155" s="14"/>
      <c r="KSB155" s="14"/>
      <c r="KSC155" s="14"/>
      <c r="KSD155" s="14"/>
      <c r="KSE155" s="14"/>
      <c r="KSF155" s="14"/>
      <c r="KSG155" s="14"/>
      <c r="KSH155" s="14"/>
      <c r="KSI155" s="14"/>
      <c r="KSJ155" s="14"/>
      <c r="KSK155" s="14"/>
      <c r="KSL155" s="14"/>
      <c r="KSM155" s="14"/>
      <c r="KSN155" s="14"/>
      <c r="KSO155" s="14"/>
      <c r="KSP155" s="14"/>
      <c r="KSQ155" s="14"/>
      <c r="KSR155" s="14"/>
      <c r="KSS155" s="14"/>
      <c r="KST155" s="14"/>
      <c r="KSU155" s="14"/>
      <c r="KSV155" s="14"/>
      <c r="KSW155" s="14"/>
      <c r="KSX155" s="14"/>
      <c r="KSY155" s="14"/>
      <c r="KSZ155" s="14"/>
      <c r="KTA155" s="14"/>
      <c r="KTB155" s="14"/>
      <c r="KTC155" s="14"/>
      <c r="KTD155" s="14"/>
      <c r="KTE155" s="14"/>
      <c r="KTF155" s="14"/>
      <c r="KTG155" s="14"/>
      <c r="KTH155" s="14"/>
      <c r="KTI155" s="14"/>
      <c r="KTJ155" s="14"/>
      <c r="KTK155" s="14"/>
      <c r="KTL155" s="14"/>
      <c r="KTM155" s="14"/>
      <c r="KTN155" s="14"/>
      <c r="KTO155" s="14"/>
      <c r="KTP155" s="14"/>
      <c r="KTQ155" s="14"/>
      <c r="KTR155" s="14"/>
      <c r="KTS155" s="14"/>
      <c r="KTT155" s="14"/>
      <c r="KTU155" s="14"/>
      <c r="KTV155" s="14"/>
      <c r="KTW155" s="14"/>
      <c r="KTX155" s="14"/>
      <c r="KTY155" s="14"/>
      <c r="KTZ155" s="14"/>
      <c r="KUA155" s="14"/>
      <c r="KUB155" s="14"/>
      <c r="KUC155" s="14"/>
      <c r="KUD155" s="14"/>
      <c r="KUE155" s="14"/>
      <c r="KUF155" s="14"/>
      <c r="KUG155" s="14"/>
      <c r="KUH155" s="14"/>
      <c r="KUI155" s="14"/>
      <c r="KUJ155" s="14"/>
      <c r="KUK155" s="14"/>
      <c r="KUL155" s="14"/>
      <c r="KUM155" s="14"/>
      <c r="KUN155" s="14"/>
      <c r="KUO155" s="14"/>
      <c r="KUP155" s="14"/>
      <c r="KUQ155" s="14"/>
      <c r="KUR155" s="14"/>
      <c r="KUS155" s="14"/>
      <c r="KUT155" s="14"/>
      <c r="KUU155" s="14"/>
      <c r="KUV155" s="14"/>
      <c r="KUW155" s="14"/>
      <c r="KUX155" s="14"/>
      <c r="KUY155" s="14"/>
      <c r="KUZ155" s="14"/>
      <c r="KVA155" s="14"/>
      <c r="KVB155" s="14"/>
      <c r="KVC155" s="14"/>
      <c r="KVD155" s="14"/>
      <c r="KVE155" s="14"/>
      <c r="KVF155" s="14"/>
      <c r="KVG155" s="14"/>
      <c r="KVH155" s="14"/>
      <c r="KVI155" s="14"/>
      <c r="KVJ155" s="14"/>
      <c r="KVK155" s="14"/>
      <c r="KVL155" s="14"/>
      <c r="KVM155" s="14"/>
      <c r="KVN155" s="14"/>
      <c r="KVO155" s="14"/>
      <c r="KVP155" s="14"/>
      <c r="KVQ155" s="14"/>
      <c r="KVR155" s="14"/>
      <c r="KVS155" s="14"/>
      <c r="KVT155" s="14"/>
      <c r="KVU155" s="14"/>
      <c r="KVV155" s="14"/>
      <c r="KVW155" s="14"/>
      <c r="KVX155" s="14"/>
      <c r="KVY155" s="14"/>
      <c r="KVZ155" s="14"/>
      <c r="KWA155" s="14"/>
      <c r="KWB155" s="14"/>
      <c r="KWC155" s="14"/>
      <c r="KWD155" s="14"/>
      <c r="KWE155" s="14"/>
      <c r="KWF155" s="14"/>
      <c r="KWG155" s="14"/>
      <c r="KWH155" s="14"/>
      <c r="KWI155" s="14"/>
      <c r="KWJ155" s="14"/>
      <c r="KWK155" s="14"/>
      <c r="KWL155" s="14"/>
      <c r="KWM155" s="14"/>
      <c r="KWN155" s="14"/>
      <c r="KWO155" s="14"/>
      <c r="KWP155" s="14"/>
      <c r="KWQ155" s="14"/>
      <c r="KWR155" s="14"/>
      <c r="KWS155" s="14"/>
      <c r="KWT155" s="14"/>
      <c r="KWU155" s="14"/>
      <c r="KWV155" s="14"/>
      <c r="KWW155" s="14"/>
      <c r="KWX155" s="14"/>
      <c r="KWY155" s="14"/>
      <c r="KWZ155" s="14"/>
      <c r="KXA155" s="14"/>
      <c r="KXB155" s="14"/>
      <c r="KXC155" s="14"/>
      <c r="KXD155" s="14"/>
      <c r="KXE155" s="14"/>
      <c r="KXF155" s="14"/>
      <c r="KXG155" s="14"/>
      <c r="KXH155" s="14"/>
      <c r="KXI155" s="14"/>
      <c r="KXJ155" s="14"/>
      <c r="KXK155" s="14"/>
      <c r="KXL155" s="14"/>
      <c r="KXM155" s="14"/>
      <c r="KXN155" s="14"/>
      <c r="KXO155" s="14"/>
      <c r="KXP155" s="14"/>
      <c r="KXQ155" s="14"/>
      <c r="KXR155" s="14"/>
      <c r="KXS155" s="14"/>
      <c r="KXT155" s="14"/>
      <c r="KXU155" s="14"/>
      <c r="KXV155" s="14"/>
      <c r="KXW155" s="14"/>
      <c r="KXX155" s="14"/>
      <c r="KXY155" s="14"/>
      <c r="KXZ155" s="14"/>
      <c r="KYA155" s="14"/>
      <c r="KYB155" s="14"/>
      <c r="KYC155" s="14"/>
      <c r="KYD155" s="14"/>
      <c r="KYE155" s="14"/>
      <c r="KYF155" s="14"/>
      <c r="KYG155" s="14"/>
      <c r="KYH155" s="14"/>
      <c r="KYI155" s="14"/>
      <c r="KYJ155" s="14"/>
      <c r="KYK155" s="14"/>
      <c r="KYL155" s="14"/>
      <c r="KYM155" s="14"/>
      <c r="KYN155" s="14"/>
      <c r="KYO155" s="14"/>
      <c r="KYP155" s="14"/>
      <c r="KYQ155" s="14"/>
      <c r="KYR155" s="14"/>
      <c r="KYS155" s="14"/>
      <c r="KYT155" s="14"/>
      <c r="KYU155" s="14"/>
      <c r="KYV155" s="14"/>
      <c r="KYW155" s="14"/>
      <c r="KYX155" s="14"/>
      <c r="KYY155" s="14"/>
      <c r="KYZ155" s="14"/>
      <c r="KZA155" s="14"/>
      <c r="KZB155" s="14"/>
      <c r="KZC155" s="14"/>
      <c r="KZD155" s="14"/>
      <c r="KZE155" s="14"/>
      <c r="KZF155" s="14"/>
      <c r="KZG155" s="14"/>
      <c r="KZH155" s="14"/>
      <c r="KZI155" s="14"/>
      <c r="KZJ155" s="14"/>
      <c r="KZK155" s="14"/>
      <c r="KZL155" s="14"/>
      <c r="KZM155" s="14"/>
      <c r="KZN155" s="14"/>
      <c r="KZO155" s="14"/>
      <c r="KZP155" s="14"/>
      <c r="KZQ155" s="14"/>
      <c r="KZR155" s="14"/>
      <c r="KZS155" s="14"/>
      <c r="KZT155" s="14"/>
      <c r="KZU155" s="14"/>
      <c r="KZV155" s="14"/>
      <c r="KZW155" s="14"/>
      <c r="KZX155" s="14"/>
      <c r="KZY155" s="14"/>
      <c r="KZZ155" s="14"/>
      <c r="LAA155" s="14"/>
      <c r="LAB155" s="14"/>
      <c r="LAC155" s="14"/>
      <c r="LAD155" s="14"/>
      <c r="LAE155" s="14"/>
      <c r="LAF155" s="14"/>
      <c r="LAG155" s="14"/>
      <c r="LAH155" s="14"/>
      <c r="LAI155" s="14"/>
      <c r="LAJ155" s="14"/>
      <c r="LAK155" s="14"/>
      <c r="LAL155" s="14"/>
      <c r="LAM155" s="14"/>
      <c r="LAN155" s="14"/>
      <c r="LAO155" s="14"/>
      <c r="LAP155" s="14"/>
      <c r="LAQ155" s="14"/>
      <c r="LAR155" s="14"/>
      <c r="LAS155" s="14"/>
      <c r="LAT155" s="14"/>
      <c r="LAU155" s="14"/>
      <c r="LAV155" s="14"/>
      <c r="LAW155" s="14"/>
      <c r="LAX155" s="14"/>
      <c r="LAY155" s="14"/>
      <c r="LAZ155" s="14"/>
      <c r="LBA155" s="14"/>
      <c r="LBB155" s="14"/>
      <c r="LBC155" s="14"/>
      <c r="LBD155" s="14"/>
      <c r="LBE155" s="14"/>
      <c r="LBF155" s="14"/>
      <c r="LBG155" s="14"/>
      <c r="LBH155" s="14"/>
      <c r="LBI155" s="14"/>
      <c r="LBJ155" s="14"/>
      <c r="LBK155" s="14"/>
      <c r="LBL155" s="14"/>
      <c r="LBM155" s="14"/>
      <c r="LBN155" s="14"/>
      <c r="LBO155" s="14"/>
      <c r="LBP155" s="14"/>
      <c r="LBQ155" s="14"/>
      <c r="LBR155" s="14"/>
      <c r="LBS155" s="14"/>
      <c r="LBT155" s="14"/>
      <c r="LBU155" s="14"/>
      <c r="LBV155" s="14"/>
      <c r="LBW155" s="14"/>
      <c r="LBX155" s="14"/>
      <c r="LBY155" s="14"/>
      <c r="LBZ155" s="14"/>
      <c r="LCA155" s="14"/>
      <c r="LCB155" s="14"/>
      <c r="LCC155" s="14"/>
      <c r="LCD155" s="14"/>
      <c r="LCE155" s="14"/>
      <c r="LCF155" s="14"/>
      <c r="LCG155" s="14"/>
      <c r="LCH155" s="14"/>
      <c r="LCI155" s="14"/>
      <c r="LCJ155" s="14"/>
      <c r="LCK155" s="14"/>
      <c r="LCL155" s="14"/>
      <c r="LCM155" s="14"/>
      <c r="LCN155" s="14"/>
      <c r="LCO155" s="14"/>
      <c r="LCP155" s="14"/>
      <c r="LCQ155" s="14"/>
      <c r="LCR155" s="14"/>
      <c r="LCS155" s="14"/>
      <c r="LCT155" s="14"/>
      <c r="LCU155" s="14"/>
      <c r="LCV155" s="14"/>
      <c r="LCW155" s="14"/>
      <c r="LCX155" s="14"/>
      <c r="LCY155" s="14"/>
      <c r="LCZ155" s="14"/>
      <c r="LDA155" s="14"/>
      <c r="LDB155" s="14"/>
      <c r="LDC155" s="14"/>
      <c r="LDD155" s="14"/>
      <c r="LDE155" s="14"/>
      <c r="LDF155" s="14"/>
      <c r="LDG155" s="14"/>
      <c r="LDH155" s="14"/>
      <c r="LDI155" s="14"/>
      <c r="LDJ155" s="14"/>
      <c r="LDK155" s="14"/>
      <c r="LDL155" s="14"/>
      <c r="LDM155" s="14"/>
      <c r="LDN155" s="14"/>
      <c r="LDO155" s="14"/>
      <c r="LDP155" s="14"/>
      <c r="LDQ155" s="14"/>
      <c r="LDR155" s="14"/>
      <c r="LDS155" s="14"/>
      <c r="LDT155" s="14"/>
      <c r="LDU155" s="14"/>
      <c r="LDV155" s="14"/>
      <c r="LDW155" s="14"/>
      <c r="LDX155" s="14"/>
      <c r="LDY155" s="14"/>
      <c r="LDZ155" s="14"/>
      <c r="LEA155" s="14"/>
      <c r="LEB155" s="14"/>
      <c r="LEC155" s="14"/>
      <c r="LED155" s="14"/>
      <c r="LEE155" s="14"/>
      <c r="LEF155" s="14"/>
      <c r="LEG155" s="14"/>
      <c r="LEH155" s="14"/>
      <c r="LEI155" s="14"/>
      <c r="LEJ155" s="14"/>
      <c r="LEK155" s="14"/>
      <c r="LEL155" s="14"/>
      <c r="LEM155" s="14"/>
      <c r="LEN155" s="14"/>
      <c r="LEO155" s="14"/>
      <c r="LEP155" s="14"/>
      <c r="LEQ155" s="14"/>
      <c r="LER155" s="14"/>
      <c r="LES155" s="14"/>
      <c r="LET155" s="14"/>
      <c r="LEU155" s="14"/>
      <c r="LEV155" s="14"/>
      <c r="LEW155" s="14"/>
      <c r="LEX155" s="14"/>
      <c r="LEY155" s="14"/>
      <c r="LEZ155" s="14"/>
      <c r="LFA155" s="14"/>
      <c r="LFB155" s="14"/>
      <c r="LFC155" s="14"/>
      <c r="LFD155" s="14"/>
      <c r="LFE155" s="14"/>
      <c r="LFF155" s="14"/>
      <c r="LFG155" s="14"/>
      <c r="LFH155" s="14"/>
      <c r="LFI155" s="14"/>
      <c r="LFJ155" s="14"/>
      <c r="LFK155" s="14"/>
      <c r="LFL155" s="14"/>
      <c r="LFM155" s="14"/>
      <c r="LFN155" s="14"/>
      <c r="LFO155" s="14"/>
      <c r="LFP155" s="14"/>
      <c r="LFQ155" s="14"/>
      <c r="LFR155" s="14"/>
      <c r="LFS155" s="14"/>
      <c r="LFT155" s="14"/>
      <c r="LFU155" s="14"/>
      <c r="LFV155" s="14"/>
      <c r="LFW155" s="14"/>
      <c r="LFX155" s="14"/>
      <c r="LFY155" s="14"/>
      <c r="LFZ155" s="14"/>
      <c r="LGA155" s="14"/>
      <c r="LGB155" s="14"/>
      <c r="LGC155" s="14"/>
      <c r="LGD155" s="14"/>
      <c r="LGE155" s="14"/>
      <c r="LGF155" s="14"/>
      <c r="LGG155" s="14"/>
      <c r="LGH155" s="14"/>
      <c r="LGI155" s="14"/>
      <c r="LGJ155" s="14"/>
      <c r="LGK155" s="14"/>
      <c r="LGL155" s="14"/>
      <c r="LGM155" s="14"/>
      <c r="LGN155" s="14"/>
      <c r="LGO155" s="14"/>
      <c r="LGP155" s="14"/>
      <c r="LGQ155" s="14"/>
      <c r="LGR155" s="14"/>
      <c r="LGS155" s="14"/>
      <c r="LGT155" s="14"/>
      <c r="LGU155" s="14"/>
      <c r="LGV155" s="14"/>
      <c r="LGW155" s="14"/>
      <c r="LGX155" s="14"/>
      <c r="LGY155" s="14"/>
      <c r="LGZ155" s="14"/>
      <c r="LHA155" s="14"/>
      <c r="LHB155" s="14"/>
      <c r="LHC155" s="14"/>
      <c r="LHD155" s="14"/>
      <c r="LHE155" s="14"/>
      <c r="LHF155" s="14"/>
      <c r="LHG155" s="14"/>
      <c r="LHH155" s="14"/>
      <c r="LHI155" s="14"/>
      <c r="LHJ155" s="14"/>
      <c r="LHK155" s="14"/>
      <c r="LHL155" s="14"/>
      <c r="LHM155" s="14"/>
      <c r="LHN155" s="14"/>
      <c r="LHO155" s="14"/>
      <c r="LHP155" s="14"/>
      <c r="LHQ155" s="14"/>
      <c r="LHR155" s="14"/>
      <c r="LHS155" s="14"/>
      <c r="LHT155" s="14"/>
      <c r="LHU155" s="14"/>
      <c r="LHV155" s="14"/>
      <c r="LHW155" s="14"/>
      <c r="LHX155" s="14"/>
      <c r="LHY155" s="14"/>
      <c r="LHZ155" s="14"/>
      <c r="LIA155" s="14"/>
      <c r="LIB155" s="14"/>
      <c r="LIC155" s="14"/>
      <c r="LID155" s="14"/>
      <c r="LIE155" s="14"/>
      <c r="LIF155" s="14"/>
      <c r="LIG155" s="14"/>
      <c r="LIH155" s="14"/>
      <c r="LII155" s="14"/>
      <c r="LIJ155" s="14"/>
      <c r="LIK155" s="14"/>
      <c r="LIL155" s="14"/>
      <c r="LIM155" s="14"/>
      <c r="LIN155" s="14"/>
      <c r="LIO155" s="14"/>
      <c r="LIP155" s="14"/>
      <c r="LIQ155" s="14"/>
      <c r="LIR155" s="14"/>
      <c r="LIS155" s="14"/>
      <c r="LIT155" s="14"/>
      <c r="LIU155" s="14"/>
      <c r="LIV155" s="14"/>
      <c r="LIW155" s="14"/>
      <c r="LIX155" s="14"/>
      <c r="LIY155" s="14"/>
      <c r="LIZ155" s="14"/>
      <c r="LJA155" s="14"/>
      <c r="LJB155" s="14"/>
      <c r="LJC155" s="14"/>
      <c r="LJD155" s="14"/>
      <c r="LJE155" s="14"/>
      <c r="LJF155" s="14"/>
      <c r="LJG155" s="14"/>
      <c r="LJH155" s="14"/>
      <c r="LJI155" s="14"/>
      <c r="LJJ155" s="14"/>
      <c r="LJK155" s="14"/>
      <c r="LJL155" s="14"/>
      <c r="LJM155" s="14"/>
      <c r="LJN155" s="14"/>
      <c r="LJO155" s="14"/>
      <c r="LJP155" s="14"/>
      <c r="LJQ155" s="14"/>
      <c r="LJR155" s="14"/>
      <c r="LJS155" s="14"/>
      <c r="LJT155" s="14"/>
      <c r="LJU155" s="14"/>
      <c r="LJV155" s="14"/>
      <c r="LJW155" s="14"/>
      <c r="LJX155" s="14"/>
      <c r="LJY155" s="14"/>
      <c r="LJZ155" s="14"/>
      <c r="LKA155" s="14"/>
      <c r="LKB155" s="14"/>
      <c r="LKC155" s="14"/>
      <c r="LKD155" s="14"/>
      <c r="LKE155" s="14"/>
      <c r="LKF155" s="14"/>
      <c r="LKG155" s="14"/>
      <c r="LKH155" s="14"/>
      <c r="LKI155" s="14"/>
      <c r="LKJ155" s="14"/>
      <c r="LKK155" s="14"/>
      <c r="LKL155" s="14"/>
      <c r="LKM155" s="14"/>
      <c r="LKN155" s="14"/>
      <c r="LKO155" s="14"/>
      <c r="LKP155" s="14"/>
      <c r="LKQ155" s="14"/>
      <c r="LKR155" s="14"/>
      <c r="LKS155" s="14"/>
      <c r="LKT155" s="14"/>
      <c r="LKU155" s="14"/>
      <c r="LKV155" s="14"/>
      <c r="LKW155" s="14"/>
      <c r="LKX155" s="14"/>
      <c r="LKY155" s="14"/>
      <c r="LKZ155" s="14"/>
      <c r="LLA155" s="14"/>
      <c r="LLB155" s="14"/>
      <c r="LLC155" s="14"/>
      <c r="LLD155" s="14"/>
      <c r="LLE155" s="14"/>
      <c r="LLF155" s="14"/>
      <c r="LLG155" s="14"/>
      <c r="LLH155" s="14"/>
      <c r="LLI155" s="14"/>
      <c r="LLJ155" s="14"/>
      <c r="LLK155" s="14"/>
      <c r="LLL155" s="14"/>
      <c r="LLM155" s="14"/>
      <c r="LLN155" s="14"/>
      <c r="LLO155" s="14"/>
      <c r="LLP155" s="14"/>
      <c r="LLQ155" s="14"/>
      <c r="LLR155" s="14"/>
      <c r="LLS155" s="14"/>
      <c r="LLT155" s="14"/>
      <c r="LLU155" s="14"/>
      <c r="LLV155" s="14"/>
      <c r="LLW155" s="14"/>
      <c r="LLX155" s="14"/>
      <c r="LLY155" s="14"/>
      <c r="LLZ155" s="14"/>
      <c r="LMA155" s="14"/>
      <c r="LMB155" s="14"/>
      <c r="LMC155" s="14"/>
      <c r="LMD155" s="14"/>
      <c r="LME155" s="14"/>
      <c r="LMF155" s="14"/>
      <c r="LMG155" s="14"/>
      <c r="LMH155" s="14"/>
      <c r="LMI155" s="14"/>
      <c r="LMJ155" s="14"/>
      <c r="LMK155" s="14"/>
      <c r="LML155" s="14"/>
      <c r="LMM155" s="14"/>
      <c r="LMN155" s="14"/>
      <c r="LMO155" s="14"/>
      <c r="LMP155" s="14"/>
      <c r="LMQ155" s="14"/>
      <c r="LMR155" s="14"/>
      <c r="LMS155" s="14"/>
      <c r="LMT155" s="14"/>
      <c r="LMU155" s="14"/>
      <c r="LMV155" s="14"/>
      <c r="LMW155" s="14"/>
      <c r="LMX155" s="14"/>
      <c r="LMY155" s="14"/>
      <c r="LMZ155" s="14"/>
      <c r="LNA155" s="14"/>
      <c r="LNB155" s="14"/>
      <c r="LNC155" s="14"/>
      <c r="LND155" s="14"/>
      <c r="LNE155" s="14"/>
      <c r="LNF155" s="14"/>
      <c r="LNG155" s="14"/>
      <c r="LNH155" s="14"/>
      <c r="LNI155" s="14"/>
      <c r="LNJ155" s="14"/>
      <c r="LNK155" s="14"/>
      <c r="LNL155" s="14"/>
      <c r="LNM155" s="14"/>
      <c r="LNN155" s="14"/>
      <c r="LNO155" s="14"/>
      <c r="LNP155" s="14"/>
      <c r="LNQ155" s="14"/>
      <c r="LNR155" s="14"/>
      <c r="LNS155" s="14"/>
      <c r="LNT155" s="14"/>
      <c r="LNU155" s="14"/>
      <c r="LNV155" s="14"/>
      <c r="LNW155" s="14"/>
      <c r="LNX155" s="14"/>
      <c r="LNY155" s="14"/>
      <c r="LNZ155" s="14"/>
      <c r="LOA155" s="14"/>
      <c r="LOB155" s="14"/>
      <c r="LOC155" s="14"/>
      <c r="LOD155" s="14"/>
      <c r="LOE155" s="14"/>
      <c r="LOF155" s="14"/>
      <c r="LOG155" s="14"/>
      <c r="LOH155" s="14"/>
      <c r="LOI155" s="14"/>
      <c r="LOJ155" s="14"/>
      <c r="LOK155" s="14"/>
      <c r="LOL155" s="14"/>
      <c r="LOM155" s="14"/>
      <c r="LON155" s="14"/>
      <c r="LOO155" s="14"/>
      <c r="LOP155" s="14"/>
      <c r="LOQ155" s="14"/>
      <c r="LOR155" s="14"/>
      <c r="LOS155" s="14"/>
      <c r="LOT155" s="14"/>
      <c r="LOU155" s="14"/>
      <c r="LOV155" s="14"/>
      <c r="LOW155" s="14"/>
      <c r="LOX155" s="14"/>
      <c r="LOY155" s="14"/>
      <c r="LOZ155" s="14"/>
      <c r="LPA155" s="14"/>
      <c r="LPB155" s="14"/>
      <c r="LPC155" s="14"/>
      <c r="LPD155" s="14"/>
      <c r="LPE155" s="14"/>
      <c r="LPF155" s="14"/>
      <c r="LPG155" s="14"/>
      <c r="LPH155" s="14"/>
      <c r="LPI155" s="14"/>
      <c r="LPJ155" s="14"/>
      <c r="LPK155" s="14"/>
      <c r="LPL155" s="14"/>
      <c r="LPM155" s="14"/>
      <c r="LPN155" s="14"/>
      <c r="LPO155" s="14"/>
      <c r="LPP155" s="14"/>
      <c r="LPQ155" s="14"/>
      <c r="LPR155" s="14"/>
      <c r="LPS155" s="14"/>
      <c r="LPT155" s="14"/>
      <c r="LPU155" s="14"/>
      <c r="LPV155" s="14"/>
      <c r="LPW155" s="14"/>
      <c r="LPX155" s="14"/>
      <c r="LPY155" s="14"/>
      <c r="LPZ155" s="14"/>
      <c r="LQA155" s="14"/>
      <c r="LQB155" s="14"/>
      <c r="LQC155" s="14"/>
      <c r="LQD155" s="14"/>
      <c r="LQE155" s="14"/>
      <c r="LQF155" s="14"/>
      <c r="LQG155" s="14"/>
      <c r="LQH155" s="14"/>
      <c r="LQI155" s="14"/>
      <c r="LQJ155" s="14"/>
      <c r="LQK155" s="14"/>
      <c r="LQL155" s="14"/>
      <c r="LQM155" s="14"/>
      <c r="LQN155" s="14"/>
      <c r="LQO155" s="14"/>
      <c r="LQP155" s="14"/>
      <c r="LQQ155" s="14"/>
      <c r="LQR155" s="14"/>
      <c r="LQS155" s="14"/>
      <c r="LQT155" s="14"/>
      <c r="LQU155" s="14"/>
      <c r="LQV155" s="14"/>
      <c r="LQW155" s="14"/>
      <c r="LQX155" s="14"/>
      <c r="LQY155" s="14"/>
      <c r="LQZ155" s="14"/>
      <c r="LRA155" s="14"/>
      <c r="LRB155" s="14"/>
      <c r="LRC155" s="14"/>
      <c r="LRD155" s="14"/>
      <c r="LRE155" s="14"/>
      <c r="LRF155" s="14"/>
      <c r="LRG155" s="14"/>
      <c r="LRH155" s="14"/>
      <c r="LRI155" s="14"/>
      <c r="LRJ155" s="14"/>
      <c r="LRK155" s="14"/>
      <c r="LRL155" s="14"/>
      <c r="LRM155" s="14"/>
      <c r="LRN155" s="14"/>
      <c r="LRO155" s="14"/>
      <c r="LRP155" s="14"/>
      <c r="LRQ155" s="14"/>
      <c r="LRR155" s="14"/>
      <c r="LRS155" s="14"/>
      <c r="LRT155" s="14"/>
      <c r="LRU155" s="14"/>
      <c r="LRV155" s="14"/>
      <c r="LRW155" s="14"/>
      <c r="LRX155" s="14"/>
      <c r="LRY155" s="14"/>
      <c r="LRZ155" s="14"/>
      <c r="LSA155" s="14"/>
      <c r="LSB155" s="14"/>
      <c r="LSC155" s="14"/>
      <c r="LSD155" s="14"/>
      <c r="LSE155" s="14"/>
      <c r="LSF155" s="14"/>
      <c r="LSG155" s="14"/>
      <c r="LSH155" s="14"/>
      <c r="LSI155" s="14"/>
      <c r="LSJ155" s="14"/>
      <c r="LSK155" s="14"/>
      <c r="LSL155" s="14"/>
      <c r="LSM155" s="14"/>
      <c r="LSN155" s="14"/>
      <c r="LSO155" s="14"/>
      <c r="LSP155" s="14"/>
      <c r="LSQ155" s="14"/>
      <c r="LSR155" s="14"/>
      <c r="LSS155" s="14"/>
      <c r="LST155" s="14"/>
      <c r="LSU155" s="14"/>
      <c r="LSV155" s="14"/>
      <c r="LSW155" s="14"/>
      <c r="LSX155" s="14"/>
      <c r="LSY155" s="14"/>
      <c r="LSZ155" s="14"/>
      <c r="LTA155" s="14"/>
      <c r="LTB155" s="14"/>
      <c r="LTC155" s="14"/>
      <c r="LTD155" s="14"/>
      <c r="LTE155" s="14"/>
      <c r="LTF155" s="14"/>
      <c r="LTG155" s="14"/>
      <c r="LTH155" s="14"/>
      <c r="LTI155" s="14"/>
      <c r="LTJ155" s="14"/>
      <c r="LTK155" s="14"/>
      <c r="LTL155" s="14"/>
      <c r="LTM155" s="14"/>
      <c r="LTN155" s="14"/>
      <c r="LTO155" s="14"/>
      <c r="LTP155" s="14"/>
      <c r="LTQ155" s="14"/>
      <c r="LTR155" s="14"/>
      <c r="LTS155" s="14"/>
      <c r="LTT155" s="14"/>
      <c r="LTU155" s="14"/>
      <c r="LTV155" s="14"/>
      <c r="LTW155" s="14"/>
      <c r="LTX155" s="14"/>
      <c r="LTY155" s="14"/>
      <c r="LTZ155" s="14"/>
      <c r="LUA155" s="14"/>
      <c r="LUB155" s="14"/>
      <c r="LUC155" s="14"/>
      <c r="LUD155" s="14"/>
      <c r="LUE155" s="14"/>
      <c r="LUF155" s="14"/>
      <c r="LUG155" s="14"/>
      <c r="LUH155" s="14"/>
      <c r="LUI155" s="14"/>
      <c r="LUJ155" s="14"/>
      <c r="LUK155" s="14"/>
      <c r="LUL155" s="14"/>
      <c r="LUM155" s="14"/>
      <c r="LUN155" s="14"/>
      <c r="LUO155" s="14"/>
      <c r="LUP155" s="14"/>
      <c r="LUQ155" s="14"/>
      <c r="LUR155" s="14"/>
      <c r="LUS155" s="14"/>
      <c r="LUT155" s="14"/>
      <c r="LUU155" s="14"/>
      <c r="LUV155" s="14"/>
      <c r="LUW155" s="14"/>
      <c r="LUX155" s="14"/>
      <c r="LUY155" s="14"/>
      <c r="LUZ155" s="14"/>
      <c r="LVA155" s="14"/>
      <c r="LVB155" s="14"/>
      <c r="LVC155" s="14"/>
      <c r="LVD155" s="14"/>
      <c r="LVE155" s="14"/>
      <c r="LVF155" s="14"/>
      <c r="LVG155" s="14"/>
      <c r="LVH155" s="14"/>
      <c r="LVI155" s="14"/>
      <c r="LVJ155" s="14"/>
      <c r="LVK155" s="14"/>
      <c r="LVL155" s="14"/>
      <c r="LVM155" s="14"/>
      <c r="LVN155" s="14"/>
      <c r="LVO155" s="14"/>
      <c r="LVP155" s="14"/>
      <c r="LVQ155" s="14"/>
      <c r="LVR155" s="14"/>
      <c r="LVS155" s="14"/>
      <c r="LVT155" s="14"/>
      <c r="LVU155" s="14"/>
      <c r="LVV155" s="14"/>
      <c r="LVW155" s="14"/>
      <c r="LVX155" s="14"/>
      <c r="LVY155" s="14"/>
      <c r="LVZ155" s="14"/>
      <c r="LWA155" s="14"/>
      <c r="LWB155" s="14"/>
      <c r="LWC155" s="14"/>
      <c r="LWD155" s="14"/>
      <c r="LWE155" s="14"/>
      <c r="LWF155" s="14"/>
      <c r="LWG155" s="14"/>
      <c r="LWH155" s="14"/>
      <c r="LWI155" s="14"/>
      <c r="LWJ155" s="14"/>
      <c r="LWK155" s="14"/>
      <c r="LWL155" s="14"/>
      <c r="LWM155" s="14"/>
      <c r="LWN155" s="14"/>
      <c r="LWO155" s="14"/>
      <c r="LWP155" s="14"/>
      <c r="LWQ155" s="14"/>
      <c r="LWR155" s="14"/>
      <c r="LWS155" s="14"/>
      <c r="LWT155" s="14"/>
      <c r="LWU155" s="14"/>
      <c r="LWV155" s="14"/>
      <c r="LWW155" s="14"/>
      <c r="LWX155" s="14"/>
      <c r="LWY155" s="14"/>
      <c r="LWZ155" s="14"/>
      <c r="LXA155" s="14"/>
      <c r="LXB155" s="14"/>
      <c r="LXC155" s="14"/>
      <c r="LXD155" s="14"/>
      <c r="LXE155" s="14"/>
      <c r="LXF155" s="14"/>
      <c r="LXG155" s="14"/>
      <c r="LXH155" s="14"/>
      <c r="LXI155" s="14"/>
      <c r="LXJ155" s="14"/>
      <c r="LXK155" s="14"/>
      <c r="LXL155" s="14"/>
      <c r="LXM155" s="14"/>
      <c r="LXN155" s="14"/>
      <c r="LXO155" s="14"/>
      <c r="LXP155" s="14"/>
      <c r="LXQ155" s="14"/>
      <c r="LXR155" s="14"/>
      <c r="LXS155" s="14"/>
      <c r="LXT155" s="14"/>
      <c r="LXU155" s="14"/>
      <c r="LXV155" s="14"/>
      <c r="LXW155" s="14"/>
      <c r="LXX155" s="14"/>
      <c r="LXY155" s="14"/>
      <c r="LXZ155" s="14"/>
      <c r="LYA155" s="14"/>
      <c r="LYB155" s="14"/>
      <c r="LYC155" s="14"/>
      <c r="LYD155" s="14"/>
      <c r="LYE155" s="14"/>
      <c r="LYF155" s="14"/>
      <c r="LYG155" s="14"/>
      <c r="LYH155" s="14"/>
      <c r="LYI155" s="14"/>
      <c r="LYJ155" s="14"/>
      <c r="LYK155" s="14"/>
      <c r="LYL155" s="14"/>
      <c r="LYM155" s="14"/>
      <c r="LYN155" s="14"/>
      <c r="LYO155" s="14"/>
      <c r="LYP155" s="14"/>
      <c r="LYQ155" s="14"/>
      <c r="LYR155" s="14"/>
      <c r="LYS155" s="14"/>
      <c r="LYT155" s="14"/>
      <c r="LYU155" s="14"/>
      <c r="LYV155" s="14"/>
      <c r="LYW155" s="14"/>
      <c r="LYX155" s="14"/>
      <c r="LYY155" s="14"/>
      <c r="LYZ155" s="14"/>
      <c r="LZA155" s="14"/>
      <c r="LZB155" s="14"/>
      <c r="LZC155" s="14"/>
      <c r="LZD155" s="14"/>
      <c r="LZE155" s="14"/>
      <c r="LZF155" s="14"/>
      <c r="LZG155" s="14"/>
      <c r="LZH155" s="14"/>
      <c r="LZI155" s="14"/>
      <c r="LZJ155" s="14"/>
      <c r="LZK155" s="14"/>
      <c r="LZL155" s="14"/>
      <c r="LZM155" s="14"/>
      <c r="LZN155" s="14"/>
      <c r="LZO155" s="14"/>
      <c r="LZP155" s="14"/>
      <c r="LZQ155" s="14"/>
      <c r="LZR155" s="14"/>
      <c r="LZS155" s="14"/>
      <c r="LZT155" s="14"/>
      <c r="LZU155" s="14"/>
      <c r="LZV155" s="14"/>
      <c r="LZW155" s="14"/>
      <c r="LZX155" s="14"/>
      <c r="LZY155" s="14"/>
      <c r="LZZ155" s="14"/>
      <c r="MAA155" s="14"/>
      <c r="MAB155" s="14"/>
      <c r="MAC155" s="14"/>
      <c r="MAD155" s="14"/>
      <c r="MAE155" s="14"/>
      <c r="MAF155" s="14"/>
      <c r="MAG155" s="14"/>
      <c r="MAH155" s="14"/>
      <c r="MAI155" s="14"/>
      <c r="MAJ155" s="14"/>
      <c r="MAK155" s="14"/>
      <c r="MAL155" s="14"/>
      <c r="MAM155" s="14"/>
      <c r="MAN155" s="14"/>
      <c r="MAO155" s="14"/>
      <c r="MAP155" s="14"/>
      <c r="MAQ155" s="14"/>
      <c r="MAR155" s="14"/>
      <c r="MAS155" s="14"/>
      <c r="MAT155" s="14"/>
      <c r="MAU155" s="14"/>
      <c r="MAV155" s="14"/>
      <c r="MAW155" s="14"/>
      <c r="MAX155" s="14"/>
      <c r="MAY155" s="14"/>
      <c r="MAZ155" s="14"/>
      <c r="MBA155" s="14"/>
      <c r="MBB155" s="14"/>
      <c r="MBC155" s="14"/>
      <c r="MBD155" s="14"/>
      <c r="MBE155" s="14"/>
      <c r="MBF155" s="14"/>
      <c r="MBG155" s="14"/>
      <c r="MBH155" s="14"/>
      <c r="MBI155" s="14"/>
      <c r="MBJ155" s="14"/>
      <c r="MBK155" s="14"/>
      <c r="MBL155" s="14"/>
      <c r="MBM155" s="14"/>
      <c r="MBN155" s="14"/>
      <c r="MBO155" s="14"/>
      <c r="MBP155" s="14"/>
      <c r="MBQ155" s="14"/>
      <c r="MBR155" s="14"/>
      <c r="MBS155" s="14"/>
      <c r="MBT155" s="14"/>
      <c r="MBU155" s="14"/>
      <c r="MBV155" s="14"/>
      <c r="MBW155" s="14"/>
      <c r="MBX155" s="14"/>
      <c r="MBY155" s="14"/>
      <c r="MBZ155" s="14"/>
      <c r="MCA155" s="14"/>
      <c r="MCB155" s="14"/>
      <c r="MCC155" s="14"/>
      <c r="MCD155" s="14"/>
      <c r="MCE155" s="14"/>
      <c r="MCF155" s="14"/>
      <c r="MCG155" s="14"/>
      <c r="MCH155" s="14"/>
      <c r="MCI155" s="14"/>
      <c r="MCJ155" s="14"/>
      <c r="MCK155" s="14"/>
      <c r="MCL155" s="14"/>
      <c r="MCM155" s="14"/>
      <c r="MCN155" s="14"/>
      <c r="MCO155" s="14"/>
      <c r="MCP155" s="14"/>
      <c r="MCQ155" s="14"/>
      <c r="MCR155" s="14"/>
      <c r="MCS155" s="14"/>
      <c r="MCT155" s="14"/>
      <c r="MCU155" s="14"/>
      <c r="MCV155" s="14"/>
      <c r="MCW155" s="14"/>
      <c r="MCX155" s="14"/>
      <c r="MCY155" s="14"/>
      <c r="MCZ155" s="14"/>
      <c r="MDA155" s="14"/>
      <c r="MDB155" s="14"/>
      <c r="MDC155" s="14"/>
      <c r="MDD155" s="14"/>
      <c r="MDE155" s="14"/>
      <c r="MDF155" s="14"/>
      <c r="MDG155" s="14"/>
      <c r="MDH155" s="14"/>
      <c r="MDI155" s="14"/>
      <c r="MDJ155" s="14"/>
      <c r="MDK155" s="14"/>
      <c r="MDL155" s="14"/>
      <c r="MDM155" s="14"/>
      <c r="MDN155" s="14"/>
      <c r="MDO155" s="14"/>
      <c r="MDP155" s="14"/>
      <c r="MDQ155" s="14"/>
      <c r="MDR155" s="14"/>
      <c r="MDS155" s="14"/>
      <c r="MDT155" s="14"/>
      <c r="MDU155" s="14"/>
      <c r="MDV155" s="14"/>
      <c r="MDW155" s="14"/>
      <c r="MDX155" s="14"/>
      <c r="MDY155" s="14"/>
      <c r="MDZ155" s="14"/>
      <c r="MEA155" s="14"/>
      <c r="MEB155" s="14"/>
      <c r="MEC155" s="14"/>
      <c r="MED155" s="14"/>
      <c r="MEE155" s="14"/>
      <c r="MEF155" s="14"/>
      <c r="MEG155" s="14"/>
      <c r="MEH155" s="14"/>
      <c r="MEI155" s="14"/>
      <c r="MEJ155" s="14"/>
      <c r="MEK155" s="14"/>
      <c r="MEL155" s="14"/>
      <c r="MEM155" s="14"/>
      <c r="MEN155" s="14"/>
      <c r="MEO155" s="14"/>
      <c r="MEP155" s="14"/>
      <c r="MEQ155" s="14"/>
      <c r="MER155" s="14"/>
      <c r="MES155" s="14"/>
      <c r="MET155" s="14"/>
      <c r="MEU155" s="14"/>
      <c r="MEV155" s="14"/>
      <c r="MEW155" s="14"/>
      <c r="MEX155" s="14"/>
      <c r="MEY155" s="14"/>
      <c r="MEZ155" s="14"/>
      <c r="MFA155" s="14"/>
      <c r="MFB155" s="14"/>
      <c r="MFC155" s="14"/>
      <c r="MFD155" s="14"/>
      <c r="MFE155" s="14"/>
      <c r="MFF155" s="14"/>
      <c r="MFG155" s="14"/>
      <c r="MFH155" s="14"/>
      <c r="MFI155" s="14"/>
      <c r="MFJ155" s="14"/>
      <c r="MFK155" s="14"/>
      <c r="MFL155" s="14"/>
      <c r="MFM155" s="14"/>
      <c r="MFN155" s="14"/>
      <c r="MFO155" s="14"/>
      <c r="MFP155" s="14"/>
      <c r="MFQ155" s="14"/>
      <c r="MFR155" s="14"/>
      <c r="MFS155" s="14"/>
      <c r="MFT155" s="14"/>
      <c r="MFU155" s="14"/>
      <c r="MFV155" s="14"/>
      <c r="MFW155" s="14"/>
      <c r="MFX155" s="14"/>
      <c r="MFY155" s="14"/>
      <c r="MFZ155" s="14"/>
      <c r="MGA155" s="14"/>
      <c r="MGB155" s="14"/>
      <c r="MGC155" s="14"/>
      <c r="MGD155" s="14"/>
      <c r="MGE155" s="14"/>
      <c r="MGF155" s="14"/>
      <c r="MGG155" s="14"/>
      <c r="MGH155" s="14"/>
      <c r="MGI155" s="14"/>
      <c r="MGJ155" s="14"/>
      <c r="MGK155" s="14"/>
      <c r="MGL155" s="14"/>
      <c r="MGM155" s="14"/>
      <c r="MGN155" s="14"/>
      <c r="MGO155" s="14"/>
      <c r="MGP155" s="14"/>
      <c r="MGQ155" s="14"/>
      <c r="MGR155" s="14"/>
      <c r="MGS155" s="14"/>
      <c r="MGT155" s="14"/>
      <c r="MGU155" s="14"/>
      <c r="MGV155" s="14"/>
      <c r="MGW155" s="14"/>
      <c r="MGX155" s="14"/>
      <c r="MGY155" s="14"/>
      <c r="MGZ155" s="14"/>
      <c r="MHA155" s="14"/>
      <c r="MHB155" s="14"/>
      <c r="MHC155" s="14"/>
      <c r="MHD155" s="14"/>
      <c r="MHE155" s="14"/>
      <c r="MHF155" s="14"/>
      <c r="MHG155" s="14"/>
      <c r="MHH155" s="14"/>
      <c r="MHI155" s="14"/>
      <c r="MHJ155" s="14"/>
      <c r="MHK155" s="14"/>
      <c r="MHL155" s="14"/>
      <c r="MHM155" s="14"/>
      <c r="MHN155" s="14"/>
      <c r="MHO155" s="14"/>
      <c r="MHP155" s="14"/>
      <c r="MHQ155" s="14"/>
      <c r="MHR155" s="14"/>
      <c r="MHS155" s="14"/>
      <c r="MHT155" s="14"/>
      <c r="MHU155" s="14"/>
      <c r="MHV155" s="14"/>
      <c r="MHW155" s="14"/>
      <c r="MHX155" s="14"/>
      <c r="MHY155" s="14"/>
      <c r="MHZ155" s="14"/>
      <c r="MIA155" s="14"/>
      <c r="MIB155" s="14"/>
      <c r="MIC155" s="14"/>
      <c r="MID155" s="14"/>
      <c r="MIE155" s="14"/>
      <c r="MIF155" s="14"/>
      <c r="MIG155" s="14"/>
      <c r="MIH155" s="14"/>
      <c r="MII155" s="14"/>
      <c r="MIJ155" s="14"/>
      <c r="MIK155" s="14"/>
      <c r="MIL155" s="14"/>
      <c r="MIM155" s="14"/>
      <c r="MIN155" s="14"/>
      <c r="MIO155" s="14"/>
      <c r="MIP155" s="14"/>
      <c r="MIQ155" s="14"/>
      <c r="MIR155" s="14"/>
      <c r="MIS155" s="14"/>
      <c r="MIT155" s="14"/>
      <c r="MIU155" s="14"/>
      <c r="MIV155" s="14"/>
      <c r="MIW155" s="14"/>
      <c r="MIX155" s="14"/>
      <c r="MIY155" s="14"/>
      <c r="MIZ155" s="14"/>
      <c r="MJA155" s="14"/>
      <c r="MJB155" s="14"/>
      <c r="MJC155" s="14"/>
      <c r="MJD155" s="14"/>
      <c r="MJE155" s="14"/>
      <c r="MJF155" s="14"/>
      <c r="MJG155" s="14"/>
      <c r="MJH155" s="14"/>
      <c r="MJI155" s="14"/>
      <c r="MJJ155" s="14"/>
      <c r="MJK155" s="14"/>
      <c r="MJL155" s="14"/>
      <c r="MJM155" s="14"/>
      <c r="MJN155" s="14"/>
      <c r="MJO155" s="14"/>
      <c r="MJP155" s="14"/>
      <c r="MJQ155" s="14"/>
      <c r="MJR155" s="14"/>
      <c r="MJS155" s="14"/>
      <c r="MJT155" s="14"/>
      <c r="MJU155" s="14"/>
      <c r="MJV155" s="14"/>
      <c r="MJW155" s="14"/>
      <c r="MJX155" s="14"/>
      <c r="MJY155" s="14"/>
      <c r="MJZ155" s="14"/>
      <c r="MKA155" s="14"/>
      <c r="MKB155" s="14"/>
      <c r="MKC155" s="14"/>
      <c r="MKD155" s="14"/>
      <c r="MKE155" s="14"/>
      <c r="MKF155" s="14"/>
      <c r="MKG155" s="14"/>
      <c r="MKH155" s="14"/>
      <c r="MKI155" s="14"/>
      <c r="MKJ155" s="14"/>
      <c r="MKK155" s="14"/>
      <c r="MKL155" s="14"/>
      <c r="MKM155" s="14"/>
      <c r="MKN155" s="14"/>
      <c r="MKO155" s="14"/>
      <c r="MKP155" s="14"/>
      <c r="MKQ155" s="14"/>
      <c r="MKR155" s="14"/>
      <c r="MKS155" s="14"/>
      <c r="MKT155" s="14"/>
      <c r="MKU155" s="14"/>
      <c r="MKV155" s="14"/>
      <c r="MKW155" s="14"/>
      <c r="MKX155" s="14"/>
      <c r="MKY155" s="14"/>
      <c r="MKZ155" s="14"/>
      <c r="MLA155" s="14"/>
      <c r="MLB155" s="14"/>
      <c r="MLC155" s="14"/>
      <c r="MLD155" s="14"/>
      <c r="MLE155" s="14"/>
      <c r="MLF155" s="14"/>
      <c r="MLG155" s="14"/>
      <c r="MLH155" s="14"/>
      <c r="MLI155" s="14"/>
      <c r="MLJ155" s="14"/>
      <c r="MLK155" s="14"/>
      <c r="MLL155" s="14"/>
      <c r="MLM155" s="14"/>
      <c r="MLN155" s="14"/>
      <c r="MLO155" s="14"/>
      <c r="MLP155" s="14"/>
      <c r="MLQ155" s="14"/>
      <c r="MLR155" s="14"/>
      <c r="MLS155" s="14"/>
      <c r="MLT155" s="14"/>
      <c r="MLU155" s="14"/>
      <c r="MLV155" s="14"/>
      <c r="MLW155" s="14"/>
      <c r="MLX155" s="14"/>
      <c r="MLY155" s="14"/>
      <c r="MLZ155" s="14"/>
      <c r="MMA155" s="14"/>
      <c r="MMB155" s="14"/>
      <c r="MMC155" s="14"/>
      <c r="MMD155" s="14"/>
      <c r="MME155" s="14"/>
      <c r="MMF155" s="14"/>
      <c r="MMG155" s="14"/>
      <c r="MMH155" s="14"/>
      <c r="MMI155" s="14"/>
      <c r="MMJ155" s="14"/>
      <c r="MMK155" s="14"/>
      <c r="MML155" s="14"/>
      <c r="MMM155" s="14"/>
      <c r="MMN155" s="14"/>
      <c r="MMO155" s="14"/>
      <c r="MMP155" s="14"/>
      <c r="MMQ155" s="14"/>
      <c r="MMR155" s="14"/>
      <c r="MMS155" s="14"/>
      <c r="MMT155" s="14"/>
      <c r="MMU155" s="14"/>
      <c r="MMV155" s="14"/>
      <c r="MMW155" s="14"/>
      <c r="MMX155" s="14"/>
      <c r="MMY155" s="14"/>
      <c r="MMZ155" s="14"/>
      <c r="MNA155" s="14"/>
      <c r="MNB155" s="14"/>
      <c r="MNC155" s="14"/>
      <c r="MND155" s="14"/>
      <c r="MNE155" s="14"/>
      <c r="MNF155" s="14"/>
      <c r="MNG155" s="14"/>
      <c r="MNH155" s="14"/>
      <c r="MNI155" s="14"/>
      <c r="MNJ155" s="14"/>
      <c r="MNK155" s="14"/>
      <c r="MNL155" s="14"/>
      <c r="MNM155" s="14"/>
      <c r="MNN155" s="14"/>
      <c r="MNO155" s="14"/>
      <c r="MNP155" s="14"/>
      <c r="MNQ155" s="14"/>
      <c r="MNR155" s="14"/>
      <c r="MNS155" s="14"/>
      <c r="MNT155" s="14"/>
      <c r="MNU155" s="14"/>
      <c r="MNV155" s="14"/>
      <c r="MNW155" s="14"/>
      <c r="MNX155" s="14"/>
      <c r="MNY155" s="14"/>
      <c r="MNZ155" s="14"/>
      <c r="MOA155" s="14"/>
      <c r="MOB155" s="14"/>
      <c r="MOC155" s="14"/>
      <c r="MOD155" s="14"/>
      <c r="MOE155" s="14"/>
      <c r="MOF155" s="14"/>
      <c r="MOG155" s="14"/>
      <c r="MOH155" s="14"/>
      <c r="MOI155" s="14"/>
      <c r="MOJ155" s="14"/>
      <c r="MOK155" s="14"/>
      <c r="MOL155" s="14"/>
      <c r="MOM155" s="14"/>
      <c r="MON155" s="14"/>
      <c r="MOO155" s="14"/>
      <c r="MOP155" s="14"/>
      <c r="MOQ155" s="14"/>
      <c r="MOR155" s="14"/>
      <c r="MOS155" s="14"/>
      <c r="MOT155" s="14"/>
      <c r="MOU155" s="14"/>
      <c r="MOV155" s="14"/>
      <c r="MOW155" s="14"/>
      <c r="MOX155" s="14"/>
      <c r="MOY155" s="14"/>
      <c r="MOZ155" s="14"/>
      <c r="MPA155" s="14"/>
      <c r="MPB155" s="14"/>
      <c r="MPC155" s="14"/>
      <c r="MPD155" s="14"/>
      <c r="MPE155" s="14"/>
      <c r="MPF155" s="14"/>
      <c r="MPG155" s="14"/>
      <c r="MPH155" s="14"/>
      <c r="MPI155" s="14"/>
      <c r="MPJ155" s="14"/>
      <c r="MPK155" s="14"/>
      <c r="MPL155" s="14"/>
      <c r="MPM155" s="14"/>
      <c r="MPN155" s="14"/>
      <c r="MPO155" s="14"/>
      <c r="MPP155" s="14"/>
      <c r="MPQ155" s="14"/>
      <c r="MPR155" s="14"/>
      <c r="MPS155" s="14"/>
      <c r="MPT155" s="14"/>
      <c r="MPU155" s="14"/>
      <c r="MPV155" s="14"/>
      <c r="MPW155" s="14"/>
      <c r="MPX155" s="14"/>
      <c r="MPY155" s="14"/>
      <c r="MPZ155" s="14"/>
      <c r="MQA155" s="14"/>
      <c r="MQB155" s="14"/>
      <c r="MQC155" s="14"/>
      <c r="MQD155" s="14"/>
      <c r="MQE155" s="14"/>
      <c r="MQF155" s="14"/>
      <c r="MQG155" s="14"/>
      <c r="MQH155" s="14"/>
      <c r="MQI155" s="14"/>
      <c r="MQJ155" s="14"/>
      <c r="MQK155" s="14"/>
      <c r="MQL155" s="14"/>
      <c r="MQM155" s="14"/>
      <c r="MQN155" s="14"/>
      <c r="MQO155" s="14"/>
      <c r="MQP155" s="14"/>
      <c r="MQQ155" s="14"/>
      <c r="MQR155" s="14"/>
      <c r="MQS155" s="14"/>
      <c r="MQT155" s="14"/>
      <c r="MQU155" s="14"/>
      <c r="MQV155" s="14"/>
      <c r="MQW155" s="14"/>
      <c r="MQX155" s="14"/>
      <c r="MQY155" s="14"/>
      <c r="MQZ155" s="14"/>
      <c r="MRA155" s="14"/>
      <c r="MRB155" s="14"/>
      <c r="MRC155" s="14"/>
      <c r="MRD155" s="14"/>
      <c r="MRE155" s="14"/>
      <c r="MRF155" s="14"/>
      <c r="MRG155" s="14"/>
      <c r="MRH155" s="14"/>
      <c r="MRI155" s="14"/>
      <c r="MRJ155" s="14"/>
      <c r="MRK155" s="14"/>
      <c r="MRL155" s="14"/>
      <c r="MRM155" s="14"/>
      <c r="MRN155" s="14"/>
      <c r="MRO155" s="14"/>
      <c r="MRP155" s="14"/>
      <c r="MRQ155" s="14"/>
      <c r="MRR155" s="14"/>
      <c r="MRS155" s="14"/>
      <c r="MRT155" s="14"/>
      <c r="MRU155" s="14"/>
      <c r="MRV155" s="14"/>
      <c r="MRW155" s="14"/>
      <c r="MRX155" s="14"/>
      <c r="MRY155" s="14"/>
      <c r="MRZ155" s="14"/>
      <c r="MSA155" s="14"/>
      <c r="MSB155" s="14"/>
      <c r="MSC155" s="14"/>
      <c r="MSD155" s="14"/>
      <c r="MSE155" s="14"/>
      <c r="MSF155" s="14"/>
      <c r="MSG155" s="14"/>
      <c r="MSH155" s="14"/>
      <c r="MSI155" s="14"/>
      <c r="MSJ155" s="14"/>
      <c r="MSK155" s="14"/>
      <c r="MSL155" s="14"/>
      <c r="MSM155" s="14"/>
      <c r="MSN155" s="14"/>
      <c r="MSO155" s="14"/>
      <c r="MSP155" s="14"/>
      <c r="MSQ155" s="14"/>
      <c r="MSR155" s="14"/>
      <c r="MSS155" s="14"/>
      <c r="MST155" s="14"/>
      <c r="MSU155" s="14"/>
      <c r="MSV155" s="14"/>
      <c r="MSW155" s="14"/>
      <c r="MSX155" s="14"/>
      <c r="MSY155" s="14"/>
      <c r="MSZ155" s="14"/>
      <c r="MTA155" s="14"/>
      <c r="MTB155" s="14"/>
      <c r="MTC155" s="14"/>
      <c r="MTD155" s="14"/>
      <c r="MTE155" s="14"/>
      <c r="MTF155" s="14"/>
      <c r="MTG155" s="14"/>
      <c r="MTH155" s="14"/>
      <c r="MTI155" s="14"/>
      <c r="MTJ155" s="14"/>
      <c r="MTK155" s="14"/>
      <c r="MTL155" s="14"/>
      <c r="MTM155" s="14"/>
      <c r="MTN155" s="14"/>
      <c r="MTO155" s="14"/>
      <c r="MTP155" s="14"/>
      <c r="MTQ155" s="14"/>
      <c r="MTR155" s="14"/>
      <c r="MTS155" s="14"/>
      <c r="MTT155" s="14"/>
      <c r="MTU155" s="14"/>
      <c r="MTV155" s="14"/>
      <c r="MTW155" s="14"/>
      <c r="MTX155" s="14"/>
      <c r="MTY155" s="14"/>
      <c r="MTZ155" s="14"/>
      <c r="MUA155" s="14"/>
      <c r="MUB155" s="14"/>
      <c r="MUC155" s="14"/>
      <c r="MUD155" s="14"/>
      <c r="MUE155" s="14"/>
      <c r="MUF155" s="14"/>
      <c r="MUG155" s="14"/>
      <c r="MUH155" s="14"/>
      <c r="MUI155" s="14"/>
      <c r="MUJ155" s="14"/>
      <c r="MUK155" s="14"/>
      <c r="MUL155" s="14"/>
      <c r="MUM155" s="14"/>
      <c r="MUN155" s="14"/>
      <c r="MUO155" s="14"/>
      <c r="MUP155" s="14"/>
      <c r="MUQ155" s="14"/>
      <c r="MUR155" s="14"/>
      <c r="MUS155" s="14"/>
      <c r="MUT155" s="14"/>
      <c r="MUU155" s="14"/>
      <c r="MUV155" s="14"/>
      <c r="MUW155" s="14"/>
      <c r="MUX155" s="14"/>
      <c r="MUY155" s="14"/>
      <c r="MUZ155" s="14"/>
      <c r="MVA155" s="14"/>
      <c r="MVB155" s="14"/>
      <c r="MVC155" s="14"/>
      <c r="MVD155" s="14"/>
      <c r="MVE155" s="14"/>
      <c r="MVF155" s="14"/>
      <c r="MVG155" s="14"/>
      <c r="MVH155" s="14"/>
      <c r="MVI155" s="14"/>
      <c r="MVJ155" s="14"/>
      <c r="MVK155" s="14"/>
      <c r="MVL155" s="14"/>
      <c r="MVM155" s="14"/>
      <c r="MVN155" s="14"/>
      <c r="MVO155" s="14"/>
      <c r="MVP155" s="14"/>
      <c r="MVQ155" s="14"/>
      <c r="MVR155" s="14"/>
      <c r="MVS155" s="14"/>
      <c r="MVT155" s="14"/>
      <c r="MVU155" s="14"/>
      <c r="MVV155" s="14"/>
      <c r="MVW155" s="14"/>
      <c r="MVX155" s="14"/>
      <c r="MVY155" s="14"/>
      <c r="MVZ155" s="14"/>
      <c r="MWA155" s="14"/>
      <c r="MWB155" s="14"/>
      <c r="MWC155" s="14"/>
      <c r="MWD155" s="14"/>
      <c r="MWE155" s="14"/>
      <c r="MWF155" s="14"/>
      <c r="MWG155" s="14"/>
      <c r="MWH155" s="14"/>
      <c r="MWI155" s="14"/>
      <c r="MWJ155" s="14"/>
      <c r="MWK155" s="14"/>
      <c r="MWL155" s="14"/>
      <c r="MWM155" s="14"/>
      <c r="MWN155" s="14"/>
      <c r="MWO155" s="14"/>
      <c r="MWP155" s="14"/>
      <c r="MWQ155" s="14"/>
      <c r="MWR155" s="14"/>
      <c r="MWS155" s="14"/>
      <c r="MWT155" s="14"/>
      <c r="MWU155" s="14"/>
      <c r="MWV155" s="14"/>
      <c r="MWW155" s="14"/>
      <c r="MWX155" s="14"/>
      <c r="MWY155" s="14"/>
      <c r="MWZ155" s="14"/>
      <c r="MXA155" s="14"/>
      <c r="MXB155" s="14"/>
      <c r="MXC155" s="14"/>
      <c r="MXD155" s="14"/>
      <c r="MXE155" s="14"/>
      <c r="MXF155" s="14"/>
      <c r="MXG155" s="14"/>
      <c r="MXH155" s="14"/>
      <c r="MXI155" s="14"/>
      <c r="MXJ155" s="14"/>
      <c r="MXK155" s="14"/>
      <c r="MXL155" s="14"/>
      <c r="MXM155" s="14"/>
      <c r="MXN155" s="14"/>
      <c r="MXO155" s="14"/>
      <c r="MXP155" s="14"/>
      <c r="MXQ155" s="14"/>
      <c r="MXR155" s="14"/>
      <c r="MXS155" s="14"/>
      <c r="MXT155" s="14"/>
      <c r="MXU155" s="14"/>
      <c r="MXV155" s="14"/>
      <c r="MXW155" s="14"/>
      <c r="MXX155" s="14"/>
      <c r="MXY155" s="14"/>
      <c r="MXZ155" s="14"/>
      <c r="MYA155" s="14"/>
      <c r="MYB155" s="14"/>
      <c r="MYC155" s="14"/>
      <c r="MYD155" s="14"/>
      <c r="MYE155" s="14"/>
      <c r="MYF155" s="14"/>
      <c r="MYG155" s="14"/>
      <c r="MYH155" s="14"/>
      <c r="MYI155" s="14"/>
      <c r="MYJ155" s="14"/>
      <c r="MYK155" s="14"/>
      <c r="MYL155" s="14"/>
      <c r="MYM155" s="14"/>
      <c r="MYN155" s="14"/>
      <c r="MYO155" s="14"/>
      <c r="MYP155" s="14"/>
      <c r="MYQ155" s="14"/>
      <c r="MYR155" s="14"/>
      <c r="MYS155" s="14"/>
      <c r="MYT155" s="14"/>
      <c r="MYU155" s="14"/>
      <c r="MYV155" s="14"/>
      <c r="MYW155" s="14"/>
      <c r="MYX155" s="14"/>
      <c r="MYY155" s="14"/>
      <c r="MYZ155" s="14"/>
      <c r="MZA155" s="14"/>
      <c r="MZB155" s="14"/>
      <c r="MZC155" s="14"/>
      <c r="MZD155" s="14"/>
      <c r="MZE155" s="14"/>
      <c r="MZF155" s="14"/>
      <c r="MZG155" s="14"/>
      <c r="MZH155" s="14"/>
      <c r="MZI155" s="14"/>
      <c r="MZJ155" s="14"/>
      <c r="MZK155" s="14"/>
      <c r="MZL155" s="14"/>
      <c r="MZM155" s="14"/>
      <c r="MZN155" s="14"/>
      <c r="MZO155" s="14"/>
      <c r="MZP155" s="14"/>
      <c r="MZQ155" s="14"/>
      <c r="MZR155" s="14"/>
      <c r="MZS155" s="14"/>
      <c r="MZT155" s="14"/>
      <c r="MZU155" s="14"/>
      <c r="MZV155" s="14"/>
      <c r="MZW155" s="14"/>
      <c r="MZX155" s="14"/>
      <c r="MZY155" s="14"/>
      <c r="MZZ155" s="14"/>
      <c r="NAA155" s="14"/>
      <c r="NAB155" s="14"/>
      <c r="NAC155" s="14"/>
      <c r="NAD155" s="14"/>
      <c r="NAE155" s="14"/>
      <c r="NAF155" s="14"/>
      <c r="NAG155" s="14"/>
      <c r="NAH155" s="14"/>
      <c r="NAI155" s="14"/>
      <c r="NAJ155" s="14"/>
      <c r="NAK155" s="14"/>
      <c r="NAL155" s="14"/>
      <c r="NAM155" s="14"/>
      <c r="NAN155" s="14"/>
      <c r="NAO155" s="14"/>
      <c r="NAP155" s="14"/>
      <c r="NAQ155" s="14"/>
      <c r="NAR155" s="14"/>
      <c r="NAS155" s="14"/>
      <c r="NAT155" s="14"/>
      <c r="NAU155" s="14"/>
      <c r="NAV155" s="14"/>
      <c r="NAW155" s="14"/>
      <c r="NAX155" s="14"/>
      <c r="NAY155" s="14"/>
      <c r="NAZ155" s="14"/>
      <c r="NBA155" s="14"/>
      <c r="NBB155" s="14"/>
      <c r="NBC155" s="14"/>
      <c r="NBD155" s="14"/>
      <c r="NBE155" s="14"/>
      <c r="NBF155" s="14"/>
      <c r="NBG155" s="14"/>
      <c r="NBH155" s="14"/>
      <c r="NBI155" s="14"/>
      <c r="NBJ155" s="14"/>
      <c r="NBK155" s="14"/>
      <c r="NBL155" s="14"/>
      <c r="NBM155" s="14"/>
      <c r="NBN155" s="14"/>
      <c r="NBO155" s="14"/>
      <c r="NBP155" s="14"/>
      <c r="NBQ155" s="14"/>
      <c r="NBR155" s="14"/>
      <c r="NBS155" s="14"/>
      <c r="NBT155" s="14"/>
      <c r="NBU155" s="14"/>
      <c r="NBV155" s="14"/>
      <c r="NBW155" s="14"/>
      <c r="NBX155" s="14"/>
      <c r="NBY155" s="14"/>
      <c r="NBZ155" s="14"/>
      <c r="NCA155" s="14"/>
      <c r="NCB155" s="14"/>
      <c r="NCC155" s="14"/>
      <c r="NCD155" s="14"/>
      <c r="NCE155" s="14"/>
      <c r="NCF155" s="14"/>
      <c r="NCG155" s="14"/>
      <c r="NCH155" s="14"/>
      <c r="NCI155" s="14"/>
      <c r="NCJ155" s="14"/>
      <c r="NCK155" s="14"/>
      <c r="NCL155" s="14"/>
      <c r="NCM155" s="14"/>
      <c r="NCN155" s="14"/>
      <c r="NCO155" s="14"/>
      <c r="NCP155" s="14"/>
      <c r="NCQ155" s="14"/>
      <c r="NCR155" s="14"/>
      <c r="NCS155" s="14"/>
      <c r="NCT155" s="14"/>
      <c r="NCU155" s="14"/>
      <c r="NCV155" s="14"/>
      <c r="NCW155" s="14"/>
      <c r="NCX155" s="14"/>
      <c r="NCY155" s="14"/>
      <c r="NCZ155" s="14"/>
      <c r="NDA155" s="14"/>
      <c r="NDB155" s="14"/>
      <c r="NDC155" s="14"/>
      <c r="NDD155" s="14"/>
      <c r="NDE155" s="14"/>
      <c r="NDF155" s="14"/>
      <c r="NDG155" s="14"/>
      <c r="NDH155" s="14"/>
      <c r="NDI155" s="14"/>
      <c r="NDJ155" s="14"/>
      <c r="NDK155" s="14"/>
      <c r="NDL155" s="14"/>
      <c r="NDM155" s="14"/>
      <c r="NDN155" s="14"/>
      <c r="NDO155" s="14"/>
      <c r="NDP155" s="14"/>
      <c r="NDQ155" s="14"/>
      <c r="NDR155" s="14"/>
      <c r="NDS155" s="14"/>
      <c r="NDT155" s="14"/>
      <c r="NDU155" s="14"/>
      <c r="NDV155" s="14"/>
      <c r="NDW155" s="14"/>
      <c r="NDX155" s="14"/>
      <c r="NDY155" s="14"/>
      <c r="NDZ155" s="14"/>
      <c r="NEA155" s="14"/>
      <c r="NEB155" s="14"/>
      <c r="NEC155" s="14"/>
      <c r="NED155" s="14"/>
      <c r="NEE155" s="14"/>
      <c r="NEF155" s="14"/>
      <c r="NEG155" s="14"/>
      <c r="NEH155" s="14"/>
      <c r="NEI155" s="14"/>
      <c r="NEJ155" s="14"/>
      <c r="NEK155" s="14"/>
      <c r="NEL155" s="14"/>
      <c r="NEM155" s="14"/>
      <c r="NEN155" s="14"/>
      <c r="NEO155" s="14"/>
      <c r="NEP155" s="14"/>
      <c r="NEQ155" s="14"/>
      <c r="NER155" s="14"/>
      <c r="NES155" s="14"/>
      <c r="NET155" s="14"/>
      <c r="NEU155" s="14"/>
      <c r="NEV155" s="14"/>
      <c r="NEW155" s="14"/>
      <c r="NEX155" s="14"/>
      <c r="NEY155" s="14"/>
      <c r="NEZ155" s="14"/>
      <c r="NFA155" s="14"/>
      <c r="NFB155" s="14"/>
      <c r="NFC155" s="14"/>
      <c r="NFD155" s="14"/>
      <c r="NFE155" s="14"/>
      <c r="NFF155" s="14"/>
      <c r="NFG155" s="14"/>
      <c r="NFH155" s="14"/>
      <c r="NFI155" s="14"/>
      <c r="NFJ155" s="14"/>
      <c r="NFK155" s="14"/>
      <c r="NFL155" s="14"/>
      <c r="NFM155" s="14"/>
      <c r="NFN155" s="14"/>
      <c r="NFO155" s="14"/>
      <c r="NFP155" s="14"/>
      <c r="NFQ155" s="14"/>
      <c r="NFR155" s="14"/>
      <c r="NFS155" s="14"/>
      <c r="NFT155" s="14"/>
      <c r="NFU155" s="14"/>
      <c r="NFV155" s="14"/>
      <c r="NFW155" s="14"/>
      <c r="NFX155" s="14"/>
      <c r="NFY155" s="14"/>
      <c r="NFZ155" s="14"/>
      <c r="NGA155" s="14"/>
      <c r="NGB155" s="14"/>
      <c r="NGC155" s="14"/>
      <c r="NGD155" s="14"/>
      <c r="NGE155" s="14"/>
      <c r="NGF155" s="14"/>
      <c r="NGG155" s="14"/>
      <c r="NGH155" s="14"/>
      <c r="NGI155" s="14"/>
      <c r="NGJ155" s="14"/>
      <c r="NGK155" s="14"/>
      <c r="NGL155" s="14"/>
      <c r="NGM155" s="14"/>
      <c r="NGN155" s="14"/>
      <c r="NGO155" s="14"/>
      <c r="NGP155" s="14"/>
      <c r="NGQ155" s="14"/>
      <c r="NGR155" s="14"/>
      <c r="NGS155" s="14"/>
      <c r="NGT155" s="14"/>
      <c r="NGU155" s="14"/>
      <c r="NGV155" s="14"/>
      <c r="NGW155" s="14"/>
      <c r="NGX155" s="14"/>
      <c r="NGY155" s="14"/>
      <c r="NGZ155" s="14"/>
      <c r="NHA155" s="14"/>
      <c r="NHB155" s="14"/>
      <c r="NHC155" s="14"/>
      <c r="NHD155" s="14"/>
      <c r="NHE155" s="14"/>
      <c r="NHF155" s="14"/>
      <c r="NHG155" s="14"/>
      <c r="NHH155" s="14"/>
      <c r="NHI155" s="14"/>
      <c r="NHJ155" s="14"/>
      <c r="NHK155" s="14"/>
      <c r="NHL155" s="14"/>
      <c r="NHM155" s="14"/>
      <c r="NHN155" s="14"/>
      <c r="NHO155" s="14"/>
      <c r="NHP155" s="14"/>
      <c r="NHQ155" s="14"/>
      <c r="NHR155" s="14"/>
      <c r="NHS155" s="14"/>
      <c r="NHT155" s="14"/>
      <c r="NHU155" s="14"/>
      <c r="NHV155" s="14"/>
      <c r="NHW155" s="14"/>
      <c r="NHX155" s="14"/>
      <c r="NHY155" s="14"/>
      <c r="NHZ155" s="14"/>
      <c r="NIA155" s="14"/>
      <c r="NIB155" s="14"/>
      <c r="NIC155" s="14"/>
      <c r="NID155" s="14"/>
      <c r="NIE155" s="14"/>
      <c r="NIF155" s="14"/>
      <c r="NIG155" s="14"/>
      <c r="NIH155" s="14"/>
      <c r="NII155" s="14"/>
      <c r="NIJ155" s="14"/>
      <c r="NIK155" s="14"/>
      <c r="NIL155" s="14"/>
      <c r="NIM155" s="14"/>
      <c r="NIN155" s="14"/>
      <c r="NIO155" s="14"/>
      <c r="NIP155" s="14"/>
      <c r="NIQ155" s="14"/>
      <c r="NIR155" s="14"/>
      <c r="NIS155" s="14"/>
      <c r="NIT155" s="14"/>
      <c r="NIU155" s="14"/>
      <c r="NIV155" s="14"/>
      <c r="NIW155" s="14"/>
      <c r="NIX155" s="14"/>
      <c r="NIY155" s="14"/>
      <c r="NIZ155" s="14"/>
      <c r="NJA155" s="14"/>
      <c r="NJB155" s="14"/>
      <c r="NJC155" s="14"/>
      <c r="NJD155" s="14"/>
      <c r="NJE155" s="14"/>
      <c r="NJF155" s="14"/>
      <c r="NJG155" s="14"/>
      <c r="NJH155" s="14"/>
      <c r="NJI155" s="14"/>
      <c r="NJJ155" s="14"/>
      <c r="NJK155" s="14"/>
      <c r="NJL155" s="14"/>
      <c r="NJM155" s="14"/>
      <c r="NJN155" s="14"/>
      <c r="NJO155" s="14"/>
      <c r="NJP155" s="14"/>
      <c r="NJQ155" s="14"/>
      <c r="NJR155" s="14"/>
      <c r="NJS155" s="14"/>
      <c r="NJT155" s="14"/>
      <c r="NJU155" s="14"/>
      <c r="NJV155" s="14"/>
      <c r="NJW155" s="14"/>
      <c r="NJX155" s="14"/>
      <c r="NJY155" s="14"/>
      <c r="NJZ155" s="14"/>
      <c r="NKA155" s="14"/>
      <c r="NKB155" s="14"/>
      <c r="NKC155" s="14"/>
      <c r="NKD155" s="14"/>
      <c r="NKE155" s="14"/>
      <c r="NKF155" s="14"/>
      <c r="NKG155" s="14"/>
      <c r="NKH155" s="14"/>
      <c r="NKI155" s="14"/>
      <c r="NKJ155" s="14"/>
      <c r="NKK155" s="14"/>
      <c r="NKL155" s="14"/>
      <c r="NKM155" s="14"/>
      <c r="NKN155" s="14"/>
      <c r="NKO155" s="14"/>
      <c r="NKP155" s="14"/>
      <c r="NKQ155" s="14"/>
      <c r="NKR155" s="14"/>
      <c r="NKS155" s="14"/>
      <c r="NKT155" s="14"/>
      <c r="NKU155" s="14"/>
      <c r="NKV155" s="14"/>
      <c r="NKW155" s="14"/>
      <c r="NKX155" s="14"/>
      <c r="NKY155" s="14"/>
      <c r="NKZ155" s="14"/>
      <c r="NLA155" s="14"/>
      <c r="NLB155" s="14"/>
      <c r="NLC155" s="14"/>
      <c r="NLD155" s="14"/>
      <c r="NLE155" s="14"/>
      <c r="NLF155" s="14"/>
      <c r="NLG155" s="14"/>
      <c r="NLH155" s="14"/>
      <c r="NLI155" s="14"/>
      <c r="NLJ155" s="14"/>
      <c r="NLK155" s="14"/>
      <c r="NLL155" s="14"/>
      <c r="NLM155" s="14"/>
      <c r="NLN155" s="14"/>
      <c r="NLO155" s="14"/>
      <c r="NLP155" s="14"/>
      <c r="NLQ155" s="14"/>
      <c r="NLR155" s="14"/>
      <c r="NLS155" s="14"/>
      <c r="NLT155" s="14"/>
      <c r="NLU155" s="14"/>
      <c r="NLV155" s="14"/>
      <c r="NLW155" s="14"/>
      <c r="NLX155" s="14"/>
      <c r="NLY155" s="14"/>
      <c r="NLZ155" s="14"/>
      <c r="NMA155" s="14"/>
      <c r="NMB155" s="14"/>
      <c r="NMC155" s="14"/>
      <c r="NMD155" s="14"/>
      <c r="NME155" s="14"/>
      <c r="NMF155" s="14"/>
      <c r="NMG155" s="14"/>
      <c r="NMH155" s="14"/>
      <c r="NMI155" s="14"/>
      <c r="NMJ155" s="14"/>
      <c r="NMK155" s="14"/>
      <c r="NML155" s="14"/>
      <c r="NMM155" s="14"/>
      <c r="NMN155" s="14"/>
      <c r="NMO155" s="14"/>
      <c r="NMP155" s="14"/>
      <c r="NMQ155" s="14"/>
      <c r="NMR155" s="14"/>
      <c r="NMS155" s="14"/>
      <c r="NMT155" s="14"/>
      <c r="NMU155" s="14"/>
      <c r="NMV155" s="14"/>
      <c r="NMW155" s="14"/>
      <c r="NMX155" s="14"/>
      <c r="NMY155" s="14"/>
      <c r="NMZ155" s="14"/>
      <c r="NNA155" s="14"/>
      <c r="NNB155" s="14"/>
      <c r="NNC155" s="14"/>
      <c r="NND155" s="14"/>
      <c r="NNE155" s="14"/>
      <c r="NNF155" s="14"/>
      <c r="NNG155" s="14"/>
      <c r="NNH155" s="14"/>
      <c r="NNI155" s="14"/>
      <c r="NNJ155" s="14"/>
      <c r="NNK155" s="14"/>
      <c r="NNL155" s="14"/>
      <c r="NNM155" s="14"/>
      <c r="NNN155" s="14"/>
      <c r="NNO155" s="14"/>
      <c r="NNP155" s="14"/>
      <c r="NNQ155" s="14"/>
      <c r="NNR155" s="14"/>
      <c r="NNS155" s="14"/>
      <c r="NNT155" s="14"/>
      <c r="NNU155" s="14"/>
      <c r="NNV155" s="14"/>
      <c r="NNW155" s="14"/>
      <c r="NNX155" s="14"/>
      <c r="NNY155" s="14"/>
      <c r="NNZ155" s="14"/>
      <c r="NOA155" s="14"/>
      <c r="NOB155" s="14"/>
      <c r="NOC155" s="14"/>
      <c r="NOD155" s="14"/>
      <c r="NOE155" s="14"/>
      <c r="NOF155" s="14"/>
      <c r="NOG155" s="14"/>
      <c r="NOH155" s="14"/>
      <c r="NOI155" s="14"/>
      <c r="NOJ155" s="14"/>
      <c r="NOK155" s="14"/>
      <c r="NOL155" s="14"/>
      <c r="NOM155" s="14"/>
      <c r="NON155" s="14"/>
      <c r="NOO155" s="14"/>
      <c r="NOP155" s="14"/>
      <c r="NOQ155" s="14"/>
      <c r="NOR155" s="14"/>
      <c r="NOS155" s="14"/>
      <c r="NOT155" s="14"/>
      <c r="NOU155" s="14"/>
      <c r="NOV155" s="14"/>
      <c r="NOW155" s="14"/>
      <c r="NOX155" s="14"/>
      <c r="NOY155" s="14"/>
      <c r="NOZ155" s="14"/>
      <c r="NPA155" s="14"/>
      <c r="NPB155" s="14"/>
      <c r="NPC155" s="14"/>
      <c r="NPD155" s="14"/>
      <c r="NPE155" s="14"/>
      <c r="NPF155" s="14"/>
      <c r="NPG155" s="14"/>
      <c r="NPH155" s="14"/>
      <c r="NPI155" s="14"/>
      <c r="NPJ155" s="14"/>
      <c r="NPK155" s="14"/>
      <c r="NPL155" s="14"/>
      <c r="NPM155" s="14"/>
      <c r="NPN155" s="14"/>
      <c r="NPO155" s="14"/>
      <c r="NPP155" s="14"/>
      <c r="NPQ155" s="14"/>
      <c r="NPR155" s="14"/>
      <c r="NPS155" s="14"/>
      <c r="NPT155" s="14"/>
      <c r="NPU155" s="14"/>
      <c r="NPV155" s="14"/>
      <c r="NPW155" s="14"/>
      <c r="NPX155" s="14"/>
      <c r="NPY155" s="14"/>
      <c r="NPZ155" s="14"/>
      <c r="NQA155" s="14"/>
      <c r="NQB155" s="14"/>
      <c r="NQC155" s="14"/>
      <c r="NQD155" s="14"/>
      <c r="NQE155" s="14"/>
      <c r="NQF155" s="14"/>
      <c r="NQG155" s="14"/>
      <c r="NQH155" s="14"/>
      <c r="NQI155" s="14"/>
      <c r="NQJ155" s="14"/>
      <c r="NQK155" s="14"/>
      <c r="NQL155" s="14"/>
      <c r="NQM155" s="14"/>
      <c r="NQN155" s="14"/>
      <c r="NQO155" s="14"/>
      <c r="NQP155" s="14"/>
      <c r="NQQ155" s="14"/>
      <c r="NQR155" s="14"/>
      <c r="NQS155" s="14"/>
      <c r="NQT155" s="14"/>
      <c r="NQU155" s="14"/>
      <c r="NQV155" s="14"/>
      <c r="NQW155" s="14"/>
      <c r="NQX155" s="14"/>
      <c r="NQY155" s="14"/>
      <c r="NQZ155" s="14"/>
      <c r="NRA155" s="14"/>
      <c r="NRB155" s="14"/>
      <c r="NRC155" s="14"/>
      <c r="NRD155" s="14"/>
      <c r="NRE155" s="14"/>
      <c r="NRF155" s="14"/>
      <c r="NRG155" s="14"/>
      <c r="NRH155" s="14"/>
      <c r="NRI155" s="14"/>
      <c r="NRJ155" s="14"/>
      <c r="NRK155" s="14"/>
      <c r="NRL155" s="14"/>
      <c r="NRM155" s="14"/>
      <c r="NRN155" s="14"/>
      <c r="NRO155" s="14"/>
      <c r="NRP155" s="14"/>
      <c r="NRQ155" s="14"/>
      <c r="NRR155" s="14"/>
      <c r="NRS155" s="14"/>
      <c r="NRT155" s="14"/>
      <c r="NRU155" s="14"/>
      <c r="NRV155" s="14"/>
      <c r="NRW155" s="14"/>
      <c r="NRX155" s="14"/>
      <c r="NRY155" s="14"/>
      <c r="NRZ155" s="14"/>
      <c r="NSA155" s="14"/>
      <c r="NSB155" s="14"/>
      <c r="NSC155" s="14"/>
      <c r="NSD155" s="14"/>
      <c r="NSE155" s="14"/>
      <c r="NSF155" s="14"/>
      <c r="NSG155" s="14"/>
      <c r="NSH155" s="14"/>
      <c r="NSI155" s="14"/>
      <c r="NSJ155" s="14"/>
      <c r="NSK155" s="14"/>
      <c r="NSL155" s="14"/>
      <c r="NSM155" s="14"/>
      <c r="NSN155" s="14"/>
      <c r="NSO155" s="14"/>
      <c r="NSP155" s="14"/>
      <c r="NSQ155" s="14"/>
      <c r="NSR155" s="14"/>
      <c r="NSS155" s="14"/>
      <c r="NST155" s="14"/>
      <c r="NSU155" s="14"/>
      <c r="NSV155" s="14"/>
      <c r="NSW155" s="14"/>
      <c r="NSX155" s="14"/>
      <c r="NSY155" s="14"/>
      <c r="NSZ155" s="14"/>
      <c r="NTA155" s="14"/>
      <c r="NTB155" s="14"/>
      <c r="NTC155" s="14"/>
      <c r="NTD155" s="14"/>
      <c r="NTE155" s="14"/>
      <c r="NTF155" s="14"/>
      <c r="NTG155" s="14"/>
      <c r="NTH155" s="14"/>
      <c r="NTI155" s="14"/>
      <c r="NTJ155" s="14"/>
      <c r="NTK155" s="14"/>
      <c r="NTL155" s="14"/>
      <c r="NTM155" s="14"/>
      <c r="NTN155" s="14"/>
      <c r="NTO155" s="14"/>
      <c r="NTP155" s="14"/>
      <c r="NTQ155" s="14"/>
      <c r="NTR155" s="14"/>
      <c r="NTS155" s="14"/>
      <c r="NTT155" s="14"/>
      <c r="NTU155" s="14"/>
      <c r="NTV155" s="14"/>
      <c r="NTW155" s="14"/>
      <c r="NTX155" s="14"/>
      <c r="NTY155" s="14"/>
      <c r="NTZ155" s="14"/>
      <c r="NUA155" s="14"/>
      <c r="NUB155" s="14"/>
      <c r="NUC155" s="14"/>
      <c r="NUD155" s="14"/>
      <c r="NUE155" s="14"/>
      <c r="NUF155" s="14"/>
      <c r="NUG155" s="14"/>
      <c r="NUH155" s="14"/>
      <c r="NUI155" s="14"/>
      <c r="NUJ155" s="14"/>
      <c r="NUK155" s="14"/>
      <c r="NUL155" s="14"/>
      <c r="NUM155" s="14"/>
      <c r="NUN155" s="14"/>
      <c r="NUO155" s="14"/>
      <c r="NUP155" s="14"/>
      <c r="NUQ155" s="14"/>
      <c r="NUR155" s="14"/>
      <c r="NUS155" s="14"/>
      <c r="NUT155" s="14"/>
      <c r="NUU155" s="14"/>
      <c r="NUV155" s="14"/>
      <c r="NUW155" s="14"/>
      <c r="NUX155" s="14"/>
      <c r="NUY155" s="14"/>
      <c r="NUZ155" s="14"/>
      <c r="NVA155" s="14"/>
      <c r="NVB155" s="14"/>
      <c r="NVC155" s="14"/>
      <c r="NVD155" s="14"/>
      <c r="NVE155" s="14"/>
      <c r="NVF155" s="14"/>
      <c r="NVG155" s="14"/>
      <c r="NVH155" s="14"/>
      <c r="NVI155" s="14"/>
      <c r="NVJ155" s="14"/>
      <c r="NVK155" s="14"/>
      <c r="NVL155" s="14"/>
      <c r="NVM155" s="14"/>
      <c r="NVN155" s="14"/>
      <c r="NVO155" s="14"/>
      <c r="NVP155" s="14"/>
      <c r="NVQ155" s="14"/>
      <c r="NVR155" s="14"/>
      <c r="NVS155" s="14"/>
      <c r="NVT155" s="14"/>
      <c r="NVU155" s="14"/>
      <c r="NVV155" s="14"/>
      <c r="NVW155" s="14"/>
      <c r="NVX155" s="14"/>
      <c r="NVY155" s="14"/>
      <c r="NVZ155" s="14"/>
      <c r="NWA155" s="14"/>
      <c r="NWB155" s="14"/>
      <c r="NWC155" s="14"/>
      <c r="NWD155" s="14"/>
      <c r="NWE155" s="14"/>
      <c r="NWF155" s="14"/>
      <c r="NWG155" s="14"/>
      <c r="NWH155" s="14"/>
      <c r="NWI155" s="14"/>
      <c r="NWJ155" s="14"/>
      <c r="NWK155" s="14"/>
      <c r="NWL155" s="14"/>
      <c r="NWM155" s="14"/>
      <c r="NWN155" s="14"/>
      <c r="NWO155" s="14"/>
      <c r="NWP155" s="14"/>
      <c r="NWQ155" s="14"/>
      <c r="NWR155" s="14"/>
      <c r="NWS155" s="14"/>
      <c r="NWT155" s="14"/>
      <c r="NWU155" s="14"/>
      <c r="NWV155" s="14"/>
      <c r="NWW155" s="14"/>
      <c r="NWX155" s="14"/>
      <c r="NWY155" s="14"/>
      <c r="NWZ155" s="14"/>
      <c r="NXA155" s="14"/>
      <c r="NXB155" s="14"/>
      <c r="NXC155" s="14"/>
      <c r="NXD155" s="14"/>
      <c r="NXE155" s="14"/>
      <c r="NXF155" s="14"/>
      <c r="NXG155" s="14"/>
      <c r="NXH155" s="14"/>
      <c r="NXI155" s="14"/>
      <c r="NXJ155" s="14"/>
      <c r="NXK155" s="14"/>
      <c r="NXL155" s="14"/>
      <c r="NXM155" s="14"/>
      <c r="NXN155" s="14"/>
      <c r="NXO155" s="14"/>
      <c r="NXP155" s="14"/>
      <c r="NXQ155" s="14"/>
      <c r="NXR155" s="14"/>
      <c r="NXS155" s="14"/>
      <c r="NXT155" s="14"/>
      <c r="NXU155" s="14"/>
      <c r="NXV155" s="14"/>
      <c r="NXW155" s="14"/>
      <c r="NXX155" s="14"/>
      <c r="NXY155" s="14"/>
      <c r="NXZ155" s="14"/>
      <c r="NYA155" s="14"/>
      <c r="NYB155" s="14"/>
      <c r="NYC155" s="14"/>
      <c r="NYD155" s="14"/>
      <c r="NYE155" s="14"/>
      <c r="NYF155" s="14"/>
      <c r="NYG155" s="14"/>
      <c r="NYH155" s="14"/>
      <c r="NYI155" s="14"/>
      <c r="NYJ155" s="14"/>
      <c r="NYK155" s="14"/>
      <c r="NYL155" s="14"/>
      <c r="NYM155" s="14"/>
      <c r="NYN155" s="14"/>
      <c r="NYO155" s="14"/>
      <c r="NYP155" s="14"/>
      <c r="NYQ155" s="14"/>
      <c r="NYR155" s="14"/>
      <c r="NYS155" s="14"/>
      <c r="NYT155" s="14"/>
      <c r="NYU155" s="14"/>
      <c r="NYV155" s="14"/>
      <c r="NYW155" s="14"/>
      <c r="NYX155" s="14"/>
      <c r="NYY155" s="14"/>
      <c r="NYZ155" s="14"/>
      <c r="NZA155" s="14"/>
      <c r="NZB155" s="14"/>
      <c r="NZC155" s="14"/>
      <c r="NZD155" s="14"/>
      <c r="NZE155" s="14"/>
      <c r="NZF155" s="14"/>
      <c r="NZG155" s="14"/>
      <c r="NZH155" s="14"/>
      <c r="NZI155" s="14"/>
      <c r="NZJ155" s="14"/>
      <c r="NZK155" s="14"/>
      <c r="NZL155" s="14"/>
      <c r="NZM155" s="14"/>
      <c r="NZN155" s="14"/>
      <c r="NZO155" s="14"/>
      <c r="NZP155" s="14"/>
      <c r="NZQ155" s="14"/>
      <c r="NZR155" s="14"/>
      <c r="NZS155" s="14"/>
      <c r="NZT155" s="14"/>
      <c r="NZU155" s="14"/>
      <c r="NZV155" s="14"/>
      <c r="NZW155" s="14"/>
      <c r="NZX155" s="14"/>
      <c r="NZY155" s="14"/>
      <c r="NZZ155" s="14"/>
      <c r="OAA155" s="14"/>
      <c r="OAB155" s="14"/>
      <c r="OAC155" s="14"/>
      <c r="OAD155" s="14"/>
      <c r="OAE155" s="14"/>
      <c r="OAF155" s="14"/>
      <c r="OAG155" s="14"/>
      <c r="OAH155" s="14"/>
      <c r="OAI155" s="14"/>
      <c r="OAJ155" s="14"/>
      <c r="OAK155" s="14"/>
      <c r="OAL155" s="14"/>
      <c r="OAM155" s="14"/>
      <c r="OAN155" s="14"/>
      <c r="OAO155" s="14"/>
      <c r="OAP155" s="14"/>
      <c r="OAQ155" s="14"/>
      <c r="OAR155" s="14"/>
      <c r="OAS155" s="14"/>
      <c r="OAT155" s="14"/>
      <c r="OAU155" s="14"/>
      <c r="OAV155" s="14"/>
      <c r="OAW155" s="14"/>
      <c r="OAX155" s="14"/>
      <c r="OAY155" s="14"/>
      <c r="OAZ155" s="14"/>
      <c r="OBA155" s="14"/>
      <c r="OBB155" s="14"/>
      <c r="OBC155" s="14"/>
      <c r="OBD155" s="14"/>
      <c r="OBE155" s="14"/>
      <c r="OBF155" s="14"/>
      <c r="OBG155" s="14"/>
      <c r="OBH155" s="14"/>
      <c r="OBI155" s="14"/>
      <c r="OBJ155" s="14"/>
      <c r="OBK155" s="14"/>
      <c r="OBL155" s="14"/>
      <c r="OBM155" s="14"/>
      <c r="OBN155" s="14"/>
      <c r="OBO155" s="14"/>
      <c r="OBP155" s="14"/>
      <c r="OBQ155" s="14"/>
      <c r="OBR155" s="14"/>
      <c r="OBS155" s="14"/>
      <c r="OBT155" s="14"/>
      <c r="OBU155" s="14"/>
      <c r="OBV155" s="14"/>
      <c r="OBW155" s="14"/>
      <c r="OBX155" s="14"/>
      <c r="OBY155" s="14"/>
      <c r="OBZ155" s="14"/>
      <c r="OCA155" s="14"/>
      <c r="OCB155" s="14"/>
      <c r="OCC155" s="14"/>
      <c r="OCD155" s="14"/>
      <c r="OCE155" s="14"/>
      <c r="OCF155" s="14"/>
      <c r="OCG155" s="14"/>
      <c r="OCH155" s="14"/>
      <c r="OCI155" s="14"/>
      <c r="OCJ155" s="14"/>
      <c r="OCK155" s="14"/>
      <c r="OCL155" s="14"/>
      <c r="OCM155" s="14"/>
      <c r="OCN155" s="14"/>
      <c r="OCO155" s="14"/>
      <c r="OCP155" s="14"/>
      <c r="OCQ155" s="14"/>
      <c r="OCR155" s="14"/>
      <c r="OCS155" s="14"/>
      <c r="OCT155" s="14"/>
      <c r="OCU155" s="14"/>
      <c r="OCV155" s="14"/>
      <c r="OCW155" s="14"/>
      <c r="OCX155" s="14"/>
      <c r="OCY155" s="14"/>
      <c r="OCZ155" s="14"/>
      <c r="ODA155" s="14"/>
      <c r="ODB155" s="14"/>
      <c r="ODC155" s="14"/>
      <c r="ODD155" s="14"/>
      <c r="ODE155" s="14"/>
      <c r="ODF155" s="14"/>
      <c r="ODG155" s="14"/>
      <c r="ODH155" s="14"/>
      <c r="ODI155" s="14"/>
      <c r="ODJ155" s="14"/>
      <c r="ODK155" s="14"/>
      <c r="ODL155" s="14"/>
      <c r="ODM155" s="14"/>
      <c r="ODN155" s="14"/>
      <c r="ODO155" s="14"/>
      <c r="ODP155" s="14"/>
      <c r="ODQ155" s="14"/>
      <c r="ODR155" s="14"/>
      <c r="ODS155" s="14"/>
      <c r="ODT155" s="14"/>
      <c r="ODU155" s="14"/>
      <c r="ODV155" s="14"/>
      <c r="ODW155" s="14"/>
      <c r="ODX155" s="14"/>
      <c r="ODY155" s="14"/>
      <c r="ODZ155" s="14"/>
      <c r="OEA155" s="14"/>
      <c r="OEB155" s="14"/>
      <c r="OEC155" s="14"/>
      <c r="OED155" s="14"/>
      <c r="OEE155" s="14"/>
      <c r="OEF155" s="14"/>
      <c r="OEG155" s="14"/>
      <c r="OEH155" s="14"/>
      <c r="OEI155" s="14"/>
      <c r="OEJ155" s="14"/>
      <c r="OEK155" s="14"/>
      <c r="OEL155" s="14"/>
      <c r="OEM155" s="14"/>
      <c r="OEN155" s="14"/>
      <c r="OEO155" s="14"/>
      <c r="OEP155" s="14"/>
      <c r="OEQ155" s="14"/>
      <c r="OER155" s="14"/>
      <c r="OES155" s="14"/>
      <c r="OET155" s="14"/>
      <c r="OEU155" s="14"/>
      <c r="OEV155" s="14"/>
      <c r="OEW155" s="14"/>
      <c r="OEX155" s="14"/>
      <c r="OEY155" s="14"/>
      <c r="OEZ155" s="14"/>
      <c r="OFA155" s="14"/>
      <c r="OFB155" s="14"/>
      <c r="OFC155" s="14"/>
      <c r="OFD155" s="14"/>
      <c r="OFE155" s="14"/>
      <c r="OFF155" s="14"/>
      <c r="OFG155" s="14"/>
      <c r="OFH155" s="14"/>
      <c r="OFI155" s="14"/>
      <c r="OFJ155" s="14"/>
      <c r="OFK155" s="14"/>
      <c r="OFL155" s="14"/>
      <c r="OFM155" s="14"/>
      <c r="OFN155" s="14"/>
      <c r="OFO155" s="14"/>
      <c r="OFP155" s="14"/>
      <c r="OFQ155" s="14"/>
      <c r="OFR155" s="14"/>
      <c r="OFS155" s="14"/>
      <c r="OFT155" s="14"/>
      <c r="OFU155" s="14"/>
      <c r="OFV155" s="14"/>
      <c r="OFW155" s="14"/>
      <c r="OFX155" s="14"/>
      <c r="OFY155" s="14"/>
      <c r="OFZ155" s="14"/>
      <c r="OGA155" s="14"/>
      <c r="OGB155" s="14"/>
      <c r="OGC155" s="14"/>
      <c r="OGD155" s="14"/>
      <c r="OGE155" s="14"/>
      <c r="OGF155" s="14"/>
      <c r="OGG155" s="14"/>
      <c r="OGH155" s="14"/>
      <c r="OGI155" s="14"/>
      <c r="OGJ155" s="14"/>
      <c r="OGK155" s="14"/>
      <c r="OGL155" s="14"/>
      <c r="OGM155" s="14"/>
      <c r="OGN155" s="14"/>
      <c r="OGO155" s="14"/>
      <c r="OGP155" s="14"/>
      <c r="OGQ155" s="14"/>
      <c r="OGR155" s="14"/>
      <c r="OGS155" s="14"/>
      <c r="OGT155" s="14"/>
      <c r="OGU155" s="14"/>
      <c r="OGV155" s="14"/>
      <c r="OGW155" s="14"/>
      <c r="OGX155" s="14"/>
      <c r="OGY155" s="14"/>
      <c r="OGZ155" s="14"/>
      <c r="OHA155" s="14"/>
      <c r="OHB155" s="14"/>
      <c r="OHC155" s="14"/>
      <c r="OHD155" s="14"/>
      <c r="OHE155" s="14"/>
      <c r="OHF155" s="14"/>
      <c r="OHG155" s="14"/>
      <c r="OHH155" s="14"/>
      <c r="OHI155" s="14"/>
      <c r="OHJ155" s="14"/>
      <c r="OHK155" s="14"/>
      <c r="OHL155" s="14"/>
      <c r="OHM155" s="14"/>
      <c r="OHN155" s="14"/>
      <c r="OHO155" s="14"/>
      <c r="OHP155" s="14"/>
      <c r="OHQ155" s="14"/>
      <c r="OHR155" s="14"/>
      <c r="OHS155" s="14"/>
      <c r="OHT155" s="14"/>
      <c r="OHU155" s="14"/>
      <c r="OHV155" s="14"/>
      <c r="OHW155" s="14"/>
      <c r="OHX155" s="14"/>
      <c r="OHY155" s="14"/>
      <c r="OHZ155" s="14"/>
      <c r="OIA155" s="14"/>
      <c r="OIB155" s="14"/>
      <c r="OIC155" s="14"/>
      <c r="OID155" s="14"/>
      <c r="OIE155" s="14"/>
      <c r="OIF155" s="14"/>
      <c r="OIG155" s="14"/>
      <c r="OIH155" s="14"/>
      <c r="OII155" s="14"/>
      <c r="OIJ155" s="14"/>
      <c r="OIK155" s="14"/>
      <c r="OIL155" s="14"/>
      <c r="OIM155" s="14"/>
      <c r="OIN155" s="14"/>
      <c r="OIO155" s="14"/>
      <c r="OIP155" s="14"/>
      <c r="OIQ155" s="14"/>
      <c r="OIR155" s="14"/>
      <c r="OIS155" s="14"/>
      <c r="OIT155" s="14"/>
      <c r="OIU155" s="14"/>
      <c r="OIV155" s="14"/>
      <c r="OIW155" s="14"/>
      <c r="OIX155" s="14"/>
      <c r="OIY155" s="14"/>
      <c r="OIZ155" s="14"/>
      <c r="OJA155" s="14"/>
      <c r="OJB155" s="14"/>
      <c r="OJC155" s="14"/>
      <c r="OJD155" s="14"/>
      <c r="OJE155" s="14"/>
      <c r="OJF155" s="14"/>
      <c r="OJG155" s="14"/>
      <c r="OJH155" s="14"/>
      <c r="OJI155" s="14"/>
      <c r="OJJ155" s="14"/>
      <c r="OJK155" s="14"/>
      <c r="OJL155" s="14"/>
      <c r="OJM155" s="14"/>
      <c r="OJN155" s="14"/>
      <c r="OJO155" s="14"/>
      <c r="OJP155" s="14"/>
      <c r="OJQ155" s="14"/>
      <c r="OJR155" s="14"/>
      <c r="OJS155" s="14"/>
      <c r="OJT155" s="14"/>
      <c r="OJU155" s="14"/>
      <c r="OJV155" s="14"/>
      <c r="OJW155" s="14"/>
      <c r="OJX155" s="14"/>
      <c r="OJY155" s="14"/>
      <c r="OJZ155" s="14"/>
      <c r="OKA155" s="14"/>
      <c r="OKB155" s="14"/>
      <c r="OKC155" s="14"/>
      <c r="OKD155" s="14"/>
      <c r="OKE155" s="14"/>
      <c r="OKF155" s="14"/>
      <c r="OKG155" s="14"/>
      <c r="OKH155" s="14"/>
      <c r="OKI155" s="14"/>
      <c r="OKJ155" s="14"/>
      <c r="OKK155" s="14"/>
      <c r="OKL155" s="14"/>
      <c r="OKM155" s="14"/>
      <c r="OKN155" s="14"/>
      <c r="OKO155" s="14"/>
      <c r="OKP155" s="14"/>
      <c r="OKQ155" s="14"/>
      <c r="OKR155" s="14"/>
      <c r="OKS155" s="14"/>
      <c r="OKT155" s="14"/>
      <c r="OKU155" s="14"/>
      <c r="OKV155" s="14"/>
      <c r="OKW155" s="14"/>
      <c r="OKX155" s="14"/>
      <c r="OKY155" s="14"/>
      <c r="OKZ155" s="14"/>
      <c r="OLA155" s="14"/>
      <c r="OLB155" s="14"/>
      <c r="OLC155" s="14"/>
      <c r="OLD155" s="14"/>
      <c r="OLE155" s="14"/>
      <c r="OLF155" s="14"/>
      <c r="OLG155" s="14"/>
      <c r="OLH155" s="14"/>
      <c r="OLI155" s="14"/>
      <c r="OLJ155" s="14"/>
      <c r="OLK155" s="14"/>
      <c r="OLL155" s="14"/>
      <c r="OLM155" s="14"/>
      <c r="OLN155" s="14"/>
      <c r="OLO155" s="14"/>
      <c r="OLP155" s="14"/>
      <c r="OLQ155" s="14"/>
      <c r="OLR155" s="14"/>
      <c r="OLS155" s="14"/>
      <c r="OLT155" s="14"/>
      <c r="OLU155" s="14"/>
      <c r="OLV155" s="14"/>
      <c r="OLW155" s="14"/>
      <c r="OLX155" s="14"/>
      <c r="OLY155" s="14"/>
      <c r="OLZ155" s="14"/>
      <c r="OMA155" s="14"/>
      <c r="OMB155" s="14"/>
      <c r="OMC155" s="14"/>
      <c r="OMD155" s="14"/>
      <c r="OME155" s="14"/>
      <c r="OMF155" s="14"/>
      <c r="OMG155" s="14"/>
      <c r="OMH155" s="14"/>
      <c r="OMI155" s="14"/>
      <c r="OMJ155" s="14"/>
      <c r="OMK155" s="14"/>
      <c r="OML155" s="14"/>
      <c r="OMM155" s="14"/>
      <c r="OMN155" s="14"/>
      <c r="OMO155" s="14"/>
      <c r="OMP155" s="14"/>
      <c r="OMQ155" s="14"/>
      <c r="OMR155" s="14"/>
      <c r="OMS155" s="14"/>
      <c r="OMT155" s="14"/>
      <c r="OMU155" s="14"/>
      <c r="OMV155" s="14"/>
      <c r="OMW155" s="14"/>
      <c r="OMX155" s="14"/>
      <c r="OMY155" s="14"/>
      <c r="OMZ155" s="14"/>
      <c r="ONA155" s="14"/>
      <c r="ONB155" s="14"/>
      <c r="ONC155" s="14"/>
      <c r="OND155" s="14"/>
      <c r="ONE155" s="14"/>
      <c r="ONF155" s="14"/>
      <c r="ONG155" s="14"/>
      <c r="ONH155" s="14"/>
      <c r="ONI155" s="14"/>
      <c r="ONJ155" s="14"/>
      <c r="ONK155" s="14"/>
      <c r="ONL155" s="14"/>
      <c r="ONM155" s="14"/>
      <c r="ONN155" s="14"/>
      <c r="ONO155" s="14"/>
      <c r="ONP155" s="14"/>
      <c r="ONQ155" s="14"/>
      <c r="ONR155" s="14"/>
      <c r="ONS155" s="14"/>
      <c r="ONT155" s="14"/>
      <c r="ONU155" s="14"/>
      <c r="ONV155" s="14"/>
      <c r="ONW155" s="14"/>
      <c r="ONX155" s="14"/>
      <c r="ONY155" s="14"/>
      <c r="ONZ155" s="14"/>
      <c r="OOA155" s="14"/>
      <c r="OOB155" s="14"/>
      <c r="OOC155" s="14"/>
      <c r="OOD155" s="14"/>
      <c r="OOE155" s="14"/>
      <c r="OOF155" s="14"/>
      <c r="OOG155" s="14"/>
      <c r="OOH155" s="14"/>
      <c r="OOI155" s="14"/>
      <c r="OOJ155" s="14"/>
      <c r="OOK155" s="14"/>
      <c r="OOL155" s="14"/>
      <c r="OOM155" s="14"/>
      <c r="OON155" s="14"/>
      <c r="OOO155" s="14"/>
      <c r="OOP155" s="14"/>
      <c r="OOQ155" s="14"/>
      <c r="OOR155" s="14"/>
      <c r="OOS155" s="14"/>
      <c r="OOT155" s="14"/>
      <c r="OOU155" s="14"/>
      <c r="OOV155" s="14"/>
      <c r="OOW155" s="14"/>
      <c r="OOX155" s="14"/>
      <c r="OOY155" s="14"/>
      <c r="OOZ155" s="14"/>
      <c r="OPA155" s="14"/>
      <c r="OPB155" s="14"/>
      <c r="OPC155" s="14"/>
      <c r="OPD155" s="14"/>
      <c r="OPE155" s="14"/>
      <c r="OPF155" s="14"/>
      <c r="OPG155" s="14"/>
      <c r="OPH155" s="14"/>
      <c r="OPI155" s="14"/>
      <c r="OPJ155" s="14"/>
      <c r="OPK155" s="14"/>
      <c r="OPL155" s="14"/>
      <c r="OPM155" s="14"/>
      <c r="OPN155" s="14"/>
      <c r="OPO155" s="14"/>
      <c r="OPP155" s="14"/>
      <c r="OPQ155" s="14"/>
      <c r="OPR155" s="14"/>
      <c r="OPS155" s="14"/>
      <c r="OPT155" s="14"/>
      <c r="OPU155" s="14"/>
      <c r="OPV155" s="14"/>
      <c r="OPW155" s="14"/>
      <c r="OPX155" s="14"/>
      <c r="OPY155" s="14"/>
      <c r="OPZ155" s="14"/>
      <c r="OQA155" s="14"/>
      <c r="OQB155" s="14"/>
      <c r="OQC155" s="14"/>
      <c r="OQD155" s="14"/>
      <c r="OQE155" s="14"/>
      <c r="OQF155" s="14"/>
      <c r="OQG155" s="14"/>
      <c r="OQH155" s="14"/>
      <c r="OQI155" s="14"/>
      <c r="OQJ155" s="14"/>
      <c r="OQK155" s="14"/>
      <c r="OQL155" s="14"/>
      <c r="OQM155" s="14"/>
      <c r="OQN155" s="14"/>
      <c r="OQO155" s="14"/>
      <c r="OQP155" s="14"/>
      <c r="OQQ155" s="14"/>
      <c r="OQR155" s="14"/>
      <c r="OQS155" s="14"/>
      <c r="OQT155" s="14"/>
      <c r="OQU155" s="14"/>
      <c r="OQV155" s="14"/>
      <c r="OQW155" s="14"/>
      <c r="OQX155" s="14"/>
      <c r="OQY155" s="14"/>
      <c r="OQZ155" s="14"/>
      <c r="ORA155" s="14"/>
      <c r="ORB155" s="14"/>
      <c r="ORC155" s="14"/>
      <c r="ORD155" s="14"/>
      <c r="ORE155" s="14"/>
      <c r="ORF155" s="14"/>
      <c r="ORG155" s="14"/>
      <c r="ORH155" s="14"/>
      <c r="ORI155" s="14"/>
      <c r="ORJ155" s="14"/>
      <c r="ORK155" s="14"/>
      <c r="ORL155" s="14"/>
      <c r="ORM155" s="14"/>
      <c r="ORN155" s="14"/>
      <c r="ORO155" s="14"/>
      <c r="ORP155" s="14"/>
      <c r="ORQ155" s="14"/>
      <c r="ORR155" s="14"/>
      <c r="ORS155" s="14"/>
      <c r="ORT155" s="14"/>
      <c r="ORU155" s="14"/>
      <c r="ORV155" s="14"/>
      <c r="ORW155" s="14"/>
      <c r="ORX155" s="14"/>
      <c r="ORY155" s="14"/>
      <c r="ORZ155" s="14"/>
      <c r="OSA155" s="14"/>
      <c r="OSB155" s="14"/>
      <c r="OSC155" s="14"/>
      <c r="OSD155" s="14"/>
      <c r="OSE155" s="14"/>
      <c r="OSF155" s="14"/>
      <c r="OSG155" s="14"/>
      <c r="OSH155" s="14"/>
      <c r="OSI155" s="14"/>
      <c r="OSJ155" s="14"/>
      <c r="OSK155" s="14"/>
      <c r="OSL155" s="14"/>
      <c r="OSM155" s="14"/>
      <c r="OSN155" s="14"/>
      <c r="OSO155" s="14"/>
      <c r="OSP155" s="14"/>
      <c r="OSQ155" s="14"/>
      <c r="OSR155" s="14"/>
      <c r="OSS155" s="14"/>
      <c r="OST155" s="14"/>
      <c r="OSU155" s="14"/>
      <c r="OSV155" s="14"/>
      <c r="OSW155" s="14"/>
      <c r="OSX155" s="14"/>
      <c r="OSY155" s="14"/>
      <c r="OSZ155" s="14"/>
      <c r="OTA155" s="14"/>
      <c r="OTB155" s="14"/>
      <c r="OTC155" s="14"/>
      <c r="OTD155" s="14"/>
      <c r="OTE155" s="14"/>
      <c r="OTF155" s="14"/>
      <c r="OTG155" s="14"/>
      <c r="OTH155" s="14"/>
      <c r="OTI155" s="14"/>
      <c r="OTJ155" s="14"/>
      <c r="OTK155" s="14"/>
      <c r="OTL155" s="14"/>
      <c r="OTM155" s="14"/>
      <c r="OTN155" s="14"/>
      <c r="OTO155" s="14"/>
      <c r="OTP155" s="14"/>
      <c r="OTQ155" s="14"/>
      <c r="OTR155" s="14"/>
      <c r="OTS155" s="14"/>
      <c r="OTT155" s="14"/>
      <c r="OTU155" s="14"/>
      <c r="OTV155" s="14"/>
      <c r="OTW155" s="14"/>
      <c r="OTX155" s="14"/>
      <c r="OTY155" s="14"/>
      <c r="OTZ155" s="14"/>
      <c r="OUA155" s="14"/>
      <c r="OUB155" s="14"/>
      <c r="OUC155" s="14"/>
      <c r="OUD155" s="14"/>
      <c r="OUE155" s="14"/>
      <c r="OUF155" s="14"/>
      <c r="OUG155" s="14"/>
      <c r="OUH155" s="14"/>
      <c r="OUI155" s="14"/>
      <c r="OUJ155" s="14"/>
      <c r="OUK155" s="14"/>
      <c r="OUL155" s="14"/>
      <c r="OUM155" s="14"/>
      <c r="OUN155" s="14"/>
      <c r="OUO155" s="14"/>
      <c r="OUP155" s="14"/>
      <c r="OUQ155" s="14"/>
      <c r="OUR155" s="14"/>
      <c r="OUS155" s="14"/>
      <c r="OUT155" s="14"/>
      <c r="OUU155" s="14"/>
      <c r="OUV155" s="14"/>
      <c r="OUW155" s="14"/>
      <c r="OUX155" s="14"/>
      <c r="OUY155" s="14"/>
      <c r="OUZ155" s="14"/>
      <c r="OVA155" s="14"/>
      <c r="OVB155" s="14"/>
      <c r="OVC155" s="14"/>
      <c r="OVD155" s="14"/>
      <c r="OVE155" s="14"/>
      <c r="OVF155" s="14"/>
      <c r="OVG155" s="14"/>
      <c r="OVH155" s="14"/>
      <c r="OVI155" s="14"/>
      <c r="OVJ155" s="14"/>
      <c r="OVK155" s="14"/>
      <c r="OVL155" s="14"/>
      <c r="OVM155" s="14"/>
      <c r="OVN155" s="14"/>
      <c r="OVO155" s="14"/>
      <c r="OVP155" s="14"/>
      <c r="OVQ155" s="14"/>
      <c r="OVR155" s="14"/>
      <c r="OVS155" s="14"/>
      <c r="OVT155" s="14"/>
      <c r="OVU155" s="14"/>
      <c r="OVV155" s="14"/>
      <c r="OVW155" s="14"/>
      <c r="OVX155" s="14"/>
      <c r="OVY155" s="14"/>
      <c r="OVZ155" s="14"/>
      <c r="OWA155" s="14"/>
      <c r="OWB155" s="14"/>
      <c r="OWC155" s="14"/>
      <c r="OWD155" s="14"/>
      <c r="OWE155" s="14"/>
      <c r="OWF155" s="14"/>
      <c r="OWG155" s="14"/>
      <c r="OWH155" s="14"/>
      <c r="OWI155" s="14"/>
      <c r="OWJ155" s="14"/>
      <c r="OWK155" s="14"/>
      <c r="OWL155" s="14"/>
      <c r="OWM155" s="14"/>
      <c r="OWN155" s="14"/>
      <c r="OWO155" s="14"/>
      <c r="OWP155" s="14"/>
      <c r="OWQ155" s="14"/>
      <c r="OWR155" s="14"/>
      <c r="OWS155" s="14"/>
      <c r="OWT155" s="14"/>
      <c r="OWU155" s="14"/>
      <c r="OWV155" s="14"/>
      <c r="OWW155" s="14"/>
      <c r="OWX155" s="14"/>
      <c r="OWY155" s="14"/>
      <c r="OWZ155" s="14"/>
      <c r="OXA155" s="14"/>
      <c r="OXB155" s="14"/>
      <c r="OXC155" s="14"/>
      <c r="OXD155" s="14"/>
      <c r="OXE155" s="14"/>
      <c r="OXF155" s="14"/>
      <c r="OXG155" s="14"/>
      <c r="OXH155" s="14"/>
      <c r="OXI155" s="14"/>
      <c r="OXJ155" s="14"/>
      <c r="OXK155" s="14"/>
      <c r="OXL155" s="14"/>
      <c r="OXM155" s="14"/>
      <c r="OXN155" s="14"/>
      <c r="OXO155" s="14"/>
      <c r="OXP155" s="14"/>
      <c r="OXQ155" s="14"/>
      <c r="OXR155" s="14"/>
      <c r="OXS155" s="14"/>
      <c r="OXT155" s="14"/>
      <c r="OXU155" s="14"/>
      <c r="OXV155" s="14"/>
      <c r="OXW155" s="14"/>
      <c r="OXX155" s="14"/>
      <c r="OXY155" s="14"/>
      <c r="OXZ155" s="14"/>
      <c r="OYA155" s="14"/>
      <c r="OYB155" s="14"/>
      <c r="OYC155" s="14"/>
      <c r="OYD155" s="14"/>
      <c r="OYE155" s="14"/>
      <c r="OYF155" s="14"/>
      <c r="OYG155" s="14"/>
      <c r="OYH155" s="14"/>
      <c r="OYI155" s="14"/>
      <c r="OYJ155" s="14"/>
      <c r="OYK155" s="14"/>
      <c r="OYL155" s="14"/>
      <c r="OYM155" s="14"/>
      <c r="OYN155" s="14"/>
      <c r="OYO155" s="14"/>
      <c r="OYP155" s="14"/>
      <c r="OYQ155" s="14"/>
      <c r="OYR155" s="14"/>
      <c r="OYS155" s="14"/>
      <c r="OYT155" s="14"/>
      <c r="OYU155" s="14"/>
      <c r="OYV155" s="14"/>
      <c r="OYW155" s="14"/>
      <c r="OYX155" s="14"/>
      <c r="OYY155" s="14"/>
      <c r="OYZ155" s="14"/>
      <c r="OZA155" s="14"/>
      <c r="OZB155" s="14"/>
      <c r="OZC155" s="14"/>
      <c r="OZD155" s="14"/>
      <c r="OZE155" s="14"/>
      <c r="OZF155" s="14"/>
      <c r="OZG155" s="14"/>
      <c r="OZH155" s="14"/>
      <c r="OZI155" s="14"/>
      <c r="OZJ155" s="14"/>
      <c r="OZK155" s="14"/>
      <c r="OZL155" s="14"/>
      <c r="OZM155" s="14"/>
      <c r="OZN155" s="14"/>
      <c r="OZO155" s="14"/>
      <c r="OZP155" s="14"/>
      <c r="OZQ155" s="14"/>
      <c r="OZR155" s="14"/>
      <c r="OZS155" s="14"/>
      <c r="OZT155" s="14"/>
      <c r="OZU155" s="14"/>
      <c r="OZV155" s="14"/>
      <c r="OZW155" s="14"/>
      <c r="OZX155" s="14"/>
      <c r="OZY155" s="14"/>
      <c r="OZZ155" s="14"/>
      <c r="PAA155" s="14"/>
      <c r="PAB155" s="14"/>
      <c r="PAC155" s="14"/>
      <c r="PAD155" s="14"/>
      <c r="PAE155" s="14"/>
      <c r="PAF155" s="14"/>
      <c r="PAG155" s="14"/>
      <c r="PAH155" s="14"/>
      <c r="PAI155" s="14"/>
      <c r="PAJ155" s="14"/>
      <c r="PAK155" s="14"/>
      <c r="PAL155" s="14"/>
      <c r="PAM155" s="14"/>
      <c r="PAN155" s="14"/>
      <c r="PAO155" s="14"/>
      <c r="PAP155" s="14"/>
      <c r="PAQ155" s="14"/>
      <c r="PAR155" s="14"/>
      <c r="PAS155" s="14"/>
      <c r="PAT155" s="14"/>
      <c r="PAU155" s="14"/>
      <c r="PAV155" s="14"/>
      <c r="PAW155" s="14"/>
      <c r="PAX155" s="14"/>
      <c r="PAY155" s="14"/>
      <c r="PAZ155" s="14"/>
      <c r="PBA155" s="14"/>
      <c r="PBB155" s="14"/>
      <c r="PBC155" s="14"/>
      <c r="PBD155" s="14"/>
      <c r="PBE155" s="14"/>
      <c r="PBF155" s="14"/>
      <c r="PBG155" s="14"/>
      <c r="PBH155" s="14"/>
      <c r="PBI155" s="14"/>
      <c r="PBJ155" s="14"/>
      <c r="PBK155" s="14"/>
      <c r="PBL155" s="14"/>
      <c r="PBM155" s="14"/>
      <c r="PBN155" s="14"/>
      <c r="PBO155" s="14"/>
      <c r="PBP155" s="14"/>
      <c r="PBQ155" s="14"/>
      <c r="PBR155" s="14"/>
      <c r="PBS155" s="14"/>
      <c r="PBT155" s="14"/>
      <c r="PBU155" s="14"/>
      <c r="PBV155" s="14"/>
      <c r="PBW155" s="14"/>
      <c r="PBX155" s="14"/>
      <c r="PBY155" s="14"/>
      <c r="PBZ155" s="14"/>
      <c r="PCA155" s="14"/>
      <c r="PCB155" s="14"/>
      <c r="PCC155" s="14"/>
      <c r="PCD155" s="14"/>
      <c r="PCE155" s="14"/>
      <c r="PCF155" s="14"/>
      <c r="PCG155" s="14"/>
      <c r="PCH155" s="14"/>
      <c r="PCI155" s="14"/>
      <c r="PCJ155" s="14"/>
      <c r="PCK155" s="14"/>
      <c r="PCL155" s="14"/>
      <c r="PCM155" s="14"/>
      <c r="PCN155" s="14"/>
      <c r="PCO155" s="14"/>
      <c r="PCP155" s="14"/>
      <c r="PCQ155" s="14"/>
      <c r="PCR155" s="14"/>
      <c r="PCS155" s="14"/>
      <c r="PCT155" s="14"/>
      <c r="PCU155" s="14"/>
      <c r="PCV155" s="14"/>
      <c r="PCW155" s="14"/>
      <c r="PCX155" s="14"/>
      <c r="PCY155" s="14"/>
      <c r="PCZ155" s="14"/>
      <c r="PDA155" s="14"/>
      <c r="PDB155" s="14"/>
      <c r="PDC155" s="14"/>
      <c r="PDD155" s="14"/>
      <c r="PDE155" s="14"/>
      <c r="PDF155" s="14"/>
      <c r="PDG155" s="14"/>
      <c r="PDH155" s="14"/>
      <c r="PDI155" s="14"/>
      <c r="PDJ155" s="14"/>
      <c r="PDK155" s="14"/>
      <c r="PDL155" s="14"/>
      <c r="PDM155" s="14"/>
      <c r="PDN155" s="14"/>
      <c r="PDO155" s="14"/>
      <c r="PDP155" s="14"/>
      <c r="PDQ155" s="14"/>
      <c r="PDR155" s="14"/>
      <c r="PDS155" s="14"/>
      <c r="PDT155" s="14"/>
      <c r="PDU155" s="14"/>
      <c r="PDV155" s="14"/>
      <c r="PDW155" s="14"/>
      <c r="PDX155" s="14"/>
      <c r="PDY155" s="14"/>
      <c r="PDZ155" s="14"/>
      <c r="PEA155" s="14"/>
      <c r="PEB155" s="14"/>
      <c r="PEC155" s="14"/>
      <c r="PED155" s="14"/>
      <c r="PEE155" s="14"/>
      <c r="PEF155" s="14"/>
      <c r="PEG155" s="14"/>
      <c r="PEH155" s="14"/>
      <c r="PEI155" s="14"/>
      <c r="PEJ155" s="14"/>
      <c r="PEK155" s="14"/>
      <c r="PEL155" s="14"/>
      <c r="PEM155" s="14"/>
      <c r="PEN155" s="14"/>
      <c r="PEO155" s="14"/>
      <c r="PEP155" s="14"/>
      <c r="PEQ155" s="14"/>
      <c r="PER155" s="14"/>
      <c r="PES155" s="14"/>
      <c r="PET155" s="14"/>
      <c r="PEU155" s="14"/>
      <c r="PEV155" s="14"/>
      <c r="PEW155" s="14"/>
      <c r="PEX155" s="14"/>
      <c r="PEY155" s="14"/>
      <c r="PEZ155" s="14"/>
      <c r="PFA155" s="14"/>
      <c r="PFB155" s="14"/>
      <c r="PFC155" s="14"/>
      <c r="PFD155" s="14"/>
      <c r="PFE155" s="14"/>
      <c r="PFF155" s="14"/>
      <c r="PFG155" s="14"/>
      <c r="PFH155" s="14"/>
      <c r="PFI155" s="14"/>
      <c r="PFJ155" s="14"/>
      <c r="PFK155" s="14"/>
      <c r="PFL155" s="14"/>
      <c r="PFM155" s="14"/>
      <c r="PFN155" s="14"/>
      <c r="PFO155" s="14"/>
      <c r="PFP155" s="14"/>
      <c r="PFQ155" s="14"/>
      <c r="PFR155" s="14"/>
      <c r="PFS155" s="14"/>
      <c r="PFT155" s="14"/>
      <c r="PFU155" s="14"/>
      <c r="PFV155" s="14"/>
      <c r="PFW155" s="14"/>
      <c r="PFX155" s="14"/>
      <c r="PFY155" s="14"/>
      <c r="PFZ155" s="14"/>
      <c r="PGA155" s="14"/>
      <c r="PGB155" s="14"/>
      <c r="PGC155" s="14"/>
      <c r="PGD155" s="14"/>
      <c r="PGE155" s="14"/>
      <c r="PGF155" s="14"/>
      <c r="PGG155" s="14"/>
      <c r="PGH155" s="14"/>
      <c r="PGI155" s="14"/>
      <c r="PGJ155" s="14"/>
      <c r="PGK155" s="14"/>
      <c r="PGL155" s="14"/>
      <c r="PGM155" s="14"/>
      <c r="PGN155" s="14"/>
      <c r="PGO155" s="14"/>
      <c r="PGP155" s="14"/>
      <c r="PGQ155" s="14"/>
      <c r="PGR155" s="14"/>
      <c r="PGS155" s="14"/>
      <c r="PGT155" s="14"/>
      <c r="PGU155" s="14"/>
      <c r="PGV155" s="14"/>
      <c r="PGW155" s="14"/>
      <c r="PGX155" s="14"/>
      <c r="PGY155" s="14"/>
      <c r="PGZ155" s="14"/>
      <c r="PHA155" s="14"/>
      <c r="PHB155" s="14"/>
      <c r="PHC155" s="14"/>
      <c r="PHD155" s="14"/>
      <c r="PHE155" s="14"/>
      <c r="PHF155" s="14"/>
      <c r="PHG155" s="14"/>
      <c r="PHH155" s="14"/>
      <c r="PHI155" s="14"/>
      <c r="PHJ155" s="14"/>
      <c r="PHK155" s="14"/>
      <c r="PHL155" s="14"/>
      <c r="PHM155" s="14"/>
      <c r="PHN155" s="14"/>
      <c r="PHO155" s="14"/>
      <c r="PHP155" s="14"/>
      <c r="PHQ155" s="14"/>
      <c r="PHR155" s="14"/>
      <c r="PHS155" s="14"/>
      <c r="PHT155" s="14"/>
      <c r="PHU155" s="14"/>
      <c r="PHV155" s="14"/>
      <c r="PHW155" s="14"/>
      <c r="PHX155" s="14"/>
      <c r="PHY155" s="14"/>
      <c r="PHZ155" s="14"/>
      <c r="PIA155" s="14"/>
      <c r="PIB155" s="14"/>
      <c r="PIC155" s="14"/>
      <c r="PID155" s="14"/>
      <c r="PIE155" s="14"/>
      <c r="PIF155" s="14"/>
      <c r="PIG155" s="14"/>
      <c r="PIH155" s="14"/>
      <c r="PII155" s="14"/>
      <c r="PIJ155" s="14"/>
      <c r="PIK155" s="14"/>
      <c r="PIL155" s="14"/>
      <c r="PIM155" s="14"/>
      <c r="PIN155" s="14"/>
      <c r="PIO155" s="14"/>
      <c r="PIP155" s="14"/>
      <c r="PIQ155" s="14"/>
      <c r="PIR155" s="14"/>
      <c r="PIS155" s="14"/>
      <c r="PIT155" s="14"/>
      <c r="PIU155" s="14"/>
      <c r="PIV155" s="14"/>
      <c r="PIW155" s="14"/>
      <c r="PIX155" s="14"/>
      <c r="PIY155" s="14"/>
      <c r="PIZ155" s="14"/>
      <c r="PJA155" s="14"/>
      <c r="PJB155" s="14"/>
      <c r="PJC155" s="14"/>
      <c r="PJD155" s="14"/>
      <c r="PJE155" s="14"/>
      <c r="PJF155" s="14"/>
      <c r="PJG155" s="14"/>
      <c r="PJH155" s="14"/>
      <c r="PJI155" s="14"/>
      <c r="PJJ155" s="14"/>
      <c r="PJK155" s="14"/>
      <c r="PJL155" s="14"/>
      <c r="PJM155" s="14"/>
      <c r="PJN155" s="14"/>
      <c r="PJO155" s="14"/>
      <c r="PJP155" s="14"/>
      <c r="PJQ155" s="14"/>
      <c r="PJR155" s="14"/>
      <c r="PJS155" s="14"/>
      <c r="PJT155" s="14"/>
      <c r="PJU155" s="14"/>
      <c r="PJV155" s="14"/>
      <c r="PJW155" s="14"/>
      <c r="PJX155" s="14"/>
      <c r="PJY155" s="14"/>
      <c r="PJZ155" s="14"/>
      <c r="PKA155" s="14"/>
      <c r="PKB155" s="14"/>
      <c r="PKC155" s="14"/>
      <c r="PKD155" s="14"/>
      <c r="PKE155" s="14"/>
      <c r="PKF155" s="14"/>
      <c r="PKG155" s="14"/>
      <c r="PKH155" s="14"/>
      <c r="PKI155" s="14"/>
      <c r="PKJ155" s="14"/>
      <c r="PKK155" s="14"/>
      <c r="PKL155" s="14"/>
      <c r="PKM155" s="14"/>
      <c r="PKN155" s="14"/>
      <c r="PKO155" s="14"/>
      <c r="PKP155" s="14"/>
      <c r="PKQ155" s="14"/>
      <c r="PKR155" s="14"/>
      <c r="PKS155" s="14"/>
      <c r="PKT155" s="14"/>
      <c r="PKU155" s="14"/>
      <c r="PKV155" s="14"/>
      <c r="PKW155" s="14"/>
      <c r="PKX155" s="14"/>
      <c r="PKY155" s="14"/>
      <c r="PKZ155" s="14"/>
      <c r="PLA155" s="14"/>
      <c r="PLB155" s="14"/>
      <c r="PLC155" s="14"/>
      <c r="PLD155" s="14"/>
      <c r="PLE155" s="14"/>
      <c r="PLF155" s="14"/>
      <c r="PLG155" s="14"/>
      <c r="PLH155" s="14"/>
      <c r="PLI155" s="14"/>
      <c r="PLJ155" s="14"/>
      <c r="PLK155" s="14"/>
      <c r="PLL155" s="14"/>
      <c r="PLM155" s="14"/>
      <c r="PLN155" s="14"/>
      <c r="PLO155" s="14"/>
      <c r="PLP155" s="14"/>
      <c r="PLQ155" s="14"/>
      <c r="PLR155" s="14"/>
      <c r="PLS155" s="14"/>
      <c r="PLT155" s="14"/>
      <c r="PLU155" s="14"/>
      <c r="PLV155" s="14"/>
      <c r="PLW155" s="14"/>
      <c r="PLX155" s="14"/>
      <c r="PLY155" s="14"/>
      <c r="PLZ155" s="14"/>
      <c r="PMA155" s="14"/>
      <c r="PMB155" s="14"/>
      <c r="PMC155" s="14"/>
      <c r="PMD155" s="14"/>
      <c r="PME155" s="14"/>
      <c r="PMF155" s="14"/>
      <c r="PMG155" s="14"/>
      <c r="PMH155" s="14"/>
      <c r="PMI155" s="14"/>
      <c r="PMJ155" s="14"/>
      <c r="PMK155" s="14"/>
      <c r="PML155" s="14"/>
      <c r="PMM155" s="14"/>
      <c r="PMN155" s="14"/>
      <c r="PMO155" s="14"/>
      <c r="PMP155" s="14"/>
      <c r="PMQ155" s="14"/>
      <c r="PMR155" s="14"/>
      <c r="PMS155" s="14"/>
      <c r="PMT155" s="14"/>
      <c r="PMU155" s="14"/>
      <c r="PMV155" s="14"/>
      <c r="PMW155" s="14"/>
      <c r="PMX155" s="14"/>
      <c r="PMY155" s="14"/>
      <c r="PMZ155" s="14"/>
      <c r="PNA155" s="14"/>
      <c r="PNB155" s="14"/>
      <c r="PNC155" s="14"/>
      <c r="PND155" s="14"/>
      <c r="PNE155" s="14"/>
      <c r="PNF155" s="14"/>
      <c r="PNG155" s="14"/>
      <c r="PNH155" s="14"/>
      <c r="PNI155" s="14"/>
      <c r="PNJ155" s="14"/>
      <c r="PNK155" s="14"/>
      <c r="PNL155" s="14"/>
      <c r="PNM155" s="14"/>
      <c r="PNN155" s="14"/>
      <c r="PNO155" s="14"/>
      <c r="PNP155" s="14"/>
      <c r="PNQ155" s="14"/>
      <c r="PNR155" s="14"/>
      <c r="PNS155" s="14"/>
      <c r="PNT155" s="14"/>
      <c r="PNU155" s="14"/>
      <c r="PNV155" s="14"/>
      <c r="PNW155" s="14"/>
      <c r="PNX155" s="14"/>
      <c r="PNY155" s="14"/>
      <c r="PNZ155" s="14"/>
      <c r="POA155" s="14"/>
      <c r="POB155" s="14"/>
      <c r="POC155" s="14"/>
      <c r="POD155" s="14"/>
      <c r="POE155" s="14"/>
      <c r="POF155" s="14"/>
      <c r="POG155" s="14"/>
      <c r="POH155" s="14"/>
      <c r="POI155" s="14"/>
      <c r="POJ155" s="14"/>
      <c r="POK155" s="14"/>
      <c r="POL155" s="14"/>
      <c r="POM155" s="14"/>
      <c r="PON155" s="14"/>
      <c r="POO155" s="14"/>
      <c r="POP155" s="14"/>
      <c r="POQ155" s="14"/>
      <c r="POR155" s="14"/>
      <c r="POS155" s="14"/>
      <c r="POT155" s="14"/>
      <c r="POU155" s="14"/>
      <c r="POV155" s="14"/>
      <c r="POW155" s="14"/>
      <c r="POX155" s="14"/>
      <c r="POY155" s="14"/>
      <c r="POZ155" s="14"/>
      <c r="PPA155" s="14"/>
      <c r="PPB155" s="14"/>
      <c r="PPC155" s="14"/>
      <c r="PPD155" s="14"/>
      <c r="PPE155" s="14"/>
      <c r="PPF155" s="14"/>
      <c r="PPG155" s="14"/>
      <c r="PPH155" s="14"/>
      <c r="PPI155" s="14"/>
      <c r="PPJ155" s="14"/>
      <c r="PPK155" s="14"/>
      <c r="PPL155" s="14"/>
      <c r="PPM155" s="14"/>
      <c r="PPN155" s="14"/>
      <c r="PPO155" s="14"/>
      <c r="PPP155" s="14"/>
      <c r="PPQ155" s="14"/>
      <c r="PPR155" s="14"/>
      <c r="PPS155" s="14"/>
      <c r="PPT155" s="14"/>
      <c r="PPU155" s="14"/>
      <c r="PPV155" s="14"/>
      <c r="PPW155" s="14"/>
      <c r="PPX155" s="14"/>
      <c r="PPY155" s="14"/>
      <c r="PPZ155" s="14"/>
      <c r="PQA155" s="14"/>
      <c r="PQB155" s="14"/>
      <c r="PQC155" s="14"/>
      <c r="PQD155" s="14"/>
      <c r="PQE155" s="14"/>
      <c r="PQF155" s="14"/>
      <c r="PQG155" s="14"/>
      <c r="PQH155" s="14"/>
      <c r="PQI155" s="14"/>
      <c r="PQJ155" s="14"/>
      <c r="PQK155" s="14"/>
      <c r="PQL155" s="14"/>
      <c r="PQM155" s="14"/>
      <c r="PQN155" s="14"/>
      <c r="PQO155" s="14"/>
      <c r="PQP155" s="14"/>
      <c r="PQQ155" s="14"/>
      <c r="PQR155" s="14"/>
      <c r="PQS155" s="14"/>
      <c r="PQT155" s="14"/>
      <c r="PQU155" s="14"/>
      <c r="PQV155" s="14"/>
      <c r="PQW155" s="14"/>
      <c r="PQX155" s="14"/>
      <c r="PQY155" s="14"/>
      <c r="PQZ155" s="14"/>
      <c r="PRA155" s="14"/>
      <c r="PRB155" s="14"/>
      <c r="PRC155" s="14"/>
      <c r="PRD155" s="14"/>
      <c r="PRE155" s="14"/>
      <c r="PRF155" s="14"/>
      <c r="PRG155" s="14"/>
      <c r="PRH155" s="14"/>
      <c r="PRI155" s="14"/>
      <c r="PRJ155" s="14"/>
      <c r="PRK155" s="14"/>
      <c r="PRL155" s="14"/>
      <c r="PRM155" s="14"/>
      <c r="PRN155" s="14"/>
      <c r="PRO155" s="14"/>
      <c r="PRP155" s="14"/>
      <c r="PRQ155" s="14"/>
      <c r="PRR155" s="14"/>
      <c r="PRS155" s="14"/>
      <c r="PRT155" s="14"/>
      <c r="PRU155" s="14"/>
      <c r="PRV155" s="14"/>
      <c r="PRW155" s="14"/>
      <c r="PRX155" s="14"/>
      <c r="PRY155" s="14"/>
      <c r="PRZ155" s="14"/>
      <c r="PSA155" s="14"/>
      <c r="PSB155" s="14"/>
      <c r="PSC155" s="14"/>
      <c r="PSD155" s="14"/>
      <c r="PSE155" s="14"/>
      <c r="PSF155" s="14"/>
      <c r="PSG155" s="14"/>
      <c r="PSH155" s="14"/>
      <c r="PSI155" s="14"/>
      <c r="PSJ155" s="14"/>
      <c r="PSK155" s="14"/>
      <c r="PSL155" s="14"/>
      <c r="PSM155" s="14"/>
      <c r="PSN155" s="14"/>
      <c r="PSO155" s="14"/>
      <c r="PSP155" s="14"/>
      <c r="PSQ155" s="14"/>
      <c r="PSR155" s="14"/>
      <c r="PSS155" s="14"/>
      <c r="PST155" s="14"/>
      <c r="PSU155" s="14"/>
      <c r="PSV155" s="14"/>
      <c r="PSW155" s="14"/>
      <c r="PSX155" s="14"/>
      <c r="PSY155" s="14"/>
      <c r="PSZ155" s="14"/>
      <c r="PTA155" s="14"/>
      <c r="PTB155" s="14"/>
      <c r="PTC155" s="14"/>
      <c r="PTD155" s="14"/>
      <c r="PTE155" s="14"/>
      <c r="PTF155" s="14"/>
      <c r="PTG155" s="14"/>
      <c r="PTH155" s="14"/>
      <c r="PTI155" s="14"/>
      <c r="PTJ155" s="14"/>
      <c r="PTK155" s="14"/>
      <c r="PTL155" s="14"/>
      <c r="PTM155" s="14"/>
      <c r="PTN155" s="14"/>
      <c r="PTO155" s="14"/>
      <c r="PTP155" s="14"/>
      <c r="PTQ155" s="14"/>
      <c r="PTR155" s="14"/>
      <c r="PTS155" s="14"/>
      <c r="PTT155" s="14"/>
      <c r="PTU155" s="14"/>
      <c r="PTV155" s="14"/>
      <c r="PTW155" s="14"/>
      <c r="PTX155" s="14"/>
      <c r="PTY155" s="14"/>
      <c r="PTZ155" s="14"/>
      <c r="PUA155" s="14"/>
      <c r="PUB155" s="14"/>
      <c r="PUC155" s="14"/>
      <c r="PUD155" s="14"/>
      <c r="PUE155" s="14"/>
      <c r="PUF155" s="14"/>
      <c r="PUG155" s="14"/>
      <c r="PUH155" s="14"/>
      <c r="PUI155" s="14"/>
      <c r="PUJ155" s="14"/>
      <c r="PUK155" s="14"/>
      <c r="PUL155" s="14"/>
      <c r="PUM155" s="14"/>
      <c r="PUN155" s="14"/>
      <c r="PUO155" s="14"/>
      <c r="PUP155" s="14"/>
      <c r="PUQ155" s="14"/>
      <c r="PUR155" s="14"/>
      <c r="PUS155" s="14"/>
      <c r="PUT155" s="14"/>
      <c r="PUU155" s="14"/>
      <c r="PUV155" s="14"/>
      <c r="PUW155" s="14"/>
      <c r="PUX155" s="14"/>
      <c r="PUY155" s="14"/>
      <c r="PUZ155" s="14"/>
      <c r="PVA155" s="14"/>
      <c r="PVB155" s="14"/>
      <c r="PVC155" s="14"/>
      <c r="PVD155" s="14"/>
      <c r="PVE155" s="14"/>
      <c r="PVF155" s="14"/>
      <c r="PVG155" s="14"/>
      <c r="PVH155" s="14"/>
      <c r="PVI155" s="14"/>
      <c r="PVJ155" s="14"/>
      <c r="PVK155" s="14"/>
      <c r="PVL155" s="14"/>
      <c r="PVM155" s="14"/>
      <c r="PVN155" s="14"/>
      <c r="PVO155" s="14"/>
      <c r="PVP155" s="14"/>
      <c r="PVQ155" s="14"/>
      <c r="PVR155" s="14"/>
      <c r="PVS155" s="14"/>
      <c r="PVT155" s="14"/>
      <c r="PVU155" s="14"/>
      <c r="PVV155" s="14"/>
      <c r="PVW155" s="14"/>
      <c r="PVX155" s="14"/>
      <c r="PVY155" s="14"/>
      <c r="PVZ155" s="14"/>
      <c r="PWA155" s="14"/>
      <c r="PWB155" s="14"/>
      <c r="PWC155" s="14"/>
      <c r="PWD155" s="14"/>
      <c r="PWE155" s="14"/>
      <c r="PWF155" s="14"/>
      <c r="PWG155" s="14"/>
      <c r="PWH155" s="14"/>
      <c r="PWI155" s="14"/>
      <c r="PWJ155" s="14"/>
      <c r="PWK155" s="14"/>
      <c r="PWL155" s="14"/>
      <c r="PWM155" s="14"/>
      <c r="PWN155" s="14"/>
      <c r="PWO155" s="14"/>
      <c r="PWP155" s="14"/>
      <c r="PWQ155" s="14"/>
      <c r="PWR155" s="14"/>
      <c r="PWS155" s="14"/>
      <c r="PWT155" s="14"/>
      <c r="PWU155" s="14"/>
      <c r="PWV155" s="14"/>
      <c r="PWW155" s="14"/>
      <c r="PWX155" s="14"/>
      <c r="PWY155" s="14"/>
      <c r="PWZ155" s="14"/>
      <c r="PXA155" s="14"/>
      <c r="PXB155" s="14"/>
      <c r="PXC155" s="14"/>
      <c r="PXD155" s="14"/>
      <c r="PXE155" s="14"/>
      <c r="PXF155" s="14"/>
      <c r="PXG155" s="14"/>
      <c r="PXH155" s="14"/>
      <c r="PXI155" s="14"/>
      <c r="PXJ155" s="14"/>
      <c r="PXK155" s="14"/>
      <c r="PXL155" s="14"/>
      <c r="PXM155" s="14"/>
      <c r="PXN155" s="14"/>
      <c r="PXO155" s="14"/>
      <c r="PXP155" s="14"/>
      <c r="PXQ155" s="14"/>
      <c r="PXR155" s="14"/>
      <c r="PXS155" s="14"/>
      <c r="PXT155" s="14"/>
      <c r="PXU155" s="14"/>
      <c r="PXV155" s="14"/>
      <c r="PXW155" s="14"/>
      <c r="PXX155" s="14"/>
      <c r="PXY155" s="14"/>
      <c r="PXZ155" s="14"/>
      <c r="PYA155" s="14"/>
      <c r="PYB155" s="14"/>
      <c r="PYC155" s="14"/>
      <c r="PYD155" s="14"/>
      <c r="PYE155" s="14"/>
      <c r="PYF155" s="14"/>
      <c r="PYG155" s="14"/>
      <c r="PYH155" s="14"/>
      <c r="PYI155" s="14"/>
      <c r="PYJ155" s="14"/>
      <c r="PYK155" s="14"/>
      <c r="PYL155" s="14"/>
      <c r="PYM155" s="14"/>
      <c r="PYN155" s="14"/>
      <c r="PYO155" s="14"/>
      <c r="PYP155" s="14"/>
      <c r="PYQ155" s="14"/>
      <c r="PYR155" s="14"/>
      <c r="PYS155" s="14"/>
      <c r="PYT155" s="14"/>
      <c r="PYU155" s="14"/>
      <c r="PYV155" s="14"/>
      <c r="PYW155" s="14"/>
      <c r="PYX155" s="14"/>
      <c r="PYY155" s="14"/>
      <c r="PYZ155" s="14"/>
      <c r="PZA155" s="14"/>
      <c r="PZB155" s="14"/>
      <c r="PZC155" s="14"/>
      <c r="PZD155" s="14"/>
      <c r="PZE155" s="14"/>
      <c r="PZF155" s="14"/>
      <c r="PZG155" s="14"/>
      <c r="PZH155" s="14"/>
      <c r="PZI155" s="14"/>
      <c r="PZJ155" s="14"/>
      <c r="PZK155" s="14"/>
      <c r="PZL155" s="14"/>
      <c r="PZM155" s="14"/>
      <c r="PZN155" s="14"/>
      <c r="PZO155" s="14"/>
      <c r="PZP155" s="14"/>
      <c r="PZQ155" s="14"/>
      <c r="PZR155" s="14"/>
      <c r="PZS155" s="14"/>
      <c r="PZT155" s="14"/>
      <c r="PZU155" s="14"/>
      <c r="PZV155" s="14"/>
      <c r="PZW155" s="14"/>
      <c r="PZX155" s="14"/>
      <c r="PZY155" s="14"/>
      <c r="PZZ155" s="14"/>
      <c r="QAA155" s="14"/>
      <c r="QAB155" s="14"/>
      <c r="QAC155" s="14"/>
      <c r="QAD155" s="14"/>
      <c r="QAE155" s="14"/>
      <c r="QAF155" s="14"/>
      <c r="QAG155" s="14"/>
      <c r="QAH155" s="14"/>
      <c r="QAI155" s="14"/>
      <c r="QAJ155" s="14"/>
      <c r="QAK155" s="14"/>
      <c r="QAL155" s="14"/>
      <c r="QAM155" s="14"/>
      <c r="QAN155" s="14"/>
      <c r="QAO155" s="14"/>
      <c r="QAP155" s="14"/>
      <c r="QAQ155" s="14"/>
      <c r="QAR155" s="14"/>
      <c r="QAS155" s="14"/>
      <c r="QAT155" s="14"/>
      <c r="QAU155" s="14"/>
      <c r="QAV155" s="14"/>
      <c r="QAW155" s="14"/>
      <c r="QAX155" s="14"/>
      <c r="QAY155" s="14"/>
      <c r="QAZ155" s="14"/>
      <c r="QBA155" s="14"/>
      <c r="QBB155" s="14"/>
      <c r="QBC155" s="14"/>
      <c r="QBD155" s="14"/>
      <c r="QBE155" s="14"/>
      <c r="QBF155" s="14"/>
      <c r="QBG155" s="14"/>
      <c r="QBH155" s="14"/>
      <c r="QBI155" s="14"/>
      <c r="QBJ155" s="14"/>
      <c r="QBK155" s="14"/>
      <c r="QBL155" s="14"/>
      <c r="QBM155" s="14"/>
      <c r="QBN155" s="14"/>
      <c r="QBO155" s="14"/>
      <c r="QBP155" s="14"/>
      <c r="QBQ155" s="14"/>
      <c r="QBR155" s="14"/>
      <c r="QBS155" s="14"/>
      <c r="QBT155" s="14"/>
      <c r="QBU155" s="14"/>
      <c r="QBV155" s="14"/>
      <c r="QBW155" s="14"/>
      <c r="QBX155" s="14"/>
      <c r="QBY155" s="14"/>
      <c r="QBZ155" s="14"/>
      <c r="QCA155" s="14"/>
      <c r="QCB155" s="14"/>
      <c r="QCC155" s="14"/>
      <c r="QCD155" s="14"/>
      <c r="QCE155" s="14"/>
      <c r="QCF155" s="14"/>
      <c r="QCG155" s="14"/>
      <c r="QCH155" s="14"/>
      <c r="QCI155" s="14"/>
      <c r="QCJ155" s="14"/>
      <c r="QCK155" s="14"/>
      <c r="QCL155" s="14"/>
      <c r="QCM155" s="14"/>
      <c r="QCN155" s="14"/>
      <c r="QCO155" s="14"/>
      <c r="QCP155" s="14"/>
      <c r="QCQ155" s="14"/>
      <c r="QCR155" s="14"/>
      <c r="QCS155" s="14"/>
      <c r="QCT155" s="14"/>
      <c r="QCU155" s="14"/>
      <c r="QCV155" s="14"/>
      <c r="QCW155" s="14"/>
      <c r="QCX155" s="14"/>
      <c r="QCY155" s="14"/>
      <c r="QCZ155" s="14"/>
      <c r="QDA155" s="14"/>
      <c r="QDB155" s="14"/>
      <c r="QDC155" s="14"/>
      <c r="QDD155" s="14"/>
      <c r="QDE155" s="14"/>
      <c r="QDF155" s="14"/>
      <c r="QDG155" s="14"/>
      <c r="QDH155" s="14"/>
      <c r="QDI155" s="14"/>
      <c r="QDJ155" s="14"/>
      <c r="QDK155" s="14"/>
      <c r="QDL155" s="14"/>
      <c r="QDM155" s="14"/>
      <c r="QDN155" s="14"/>
      <c r="QDO155" s="14"/>
      <c r="QDP155" s="14"/>
      <c r="QDQ155" s="14"/>
      <c r="QDR155" s="14"/>
      <c r="QDS155" s="14"/>
      <c r="QDT155" s="14"/>
      <c r="QDU155" s="14"/>
      <c r="QDV155" s="14"/>
      <c r="QDW155" s="14"/>
      <c r="QDX155" s="14"/>
      <c r="QDY155" s="14"/>
      <c r="QDZ155" s="14"/>
      <c r="QEA155" s="14"/>
      <c r="QEB155" s="14"/>
      <c r="QEC155" s="14"/>
      <c r="QED155" s="14"/>
      <c r="QEE155" s="14"/>
      <c r="QEF155" s="14"/>
      <c r="QEG155" s="14"/>
      <c r="QEH155" s="14"/>
      <c r="QEI155" s="14"/>
      <c r="QEJ155" s="14"/>
      <c r="QEK155" s="14"/>
      <c r="QEL155" s="14"/>
      <c r="QEM155" s="14"/>
      <c r="QEN155" s="14"/>
      <c r="QEO155" s="14"/>
      <c r="QEP155" s="14"/>
      <c r="QEQ155" s="14"/>
      <c r="QER155" s="14"/>
      <c r="QES155" s="14"/>
      <c r="QET155" s="14"/>
      <c r="QEU155" s="14"/>
      <c r="QEV155" s="14"/>
      <c r="QEW155" s="14"/>
      <c r="QEX155" s="14"/>
      <c r="QEY155" s="14"/>
      <c r="QEZ155" s="14"/>
      <c r="QFA155" s="14"/>
      <c r="QFB155" s="14"/>
      <c r="QFC155" s="14"/>
      <c r="QFD155" s="14"/>
      <c r="QFE155" s="14"/>
      <c r="QFF155" s="14"/>
      <c r="QFG155" s="14"/>
      <c r="QFH155" s="14"/>
      <c r="QFI155" s="14"/>
      <c r="QFJ155" s="14"/>
      <c r="QFK155" s="14"/>
      <c r="QFL155" s="14"/>
      <c r="QFM155" s="14"/>
      <c r="QFN155" s="14"/>
      <c r="QFO155" s="14"/>
      <c r="QFP155" s="14"/>
      <c r="QFQ155" s="14"/>
      <c r="QFR155" s="14"/>
      <c r="QFS155" s="14"/>
      <c r="QFT155" s="14"/>
      <c r="QFU155" s="14"/>
      <c r="QFV155" s="14"/>
      <c r="QFW155" s="14"/>
      <c r="QFX155" s="14"/>
      <c r="QFY155" s="14"/>
      <c r="QFZ155" s="14"/>
      <c r="QGA155" s="14"/>
      <c r="QGB155" s="14"/>
      <c r="QGC155" s="14"/>
      <c r="QGD155" s="14"/>
      <c r="QGE155" s="14"/>
      <c r="QGF155" s="14"/>
      <c r="QGG155" s="14"/>
      <c r="QGH155" s="14"/>
      <c r="QGI155" s="14"/>
      <c r="QGJ155" s="14"/>
      <c r="QGK155" s="14"/>
      <c r="QGL155" s="14"/>
      <c r="QGM155" s="14"/>
      <c r="QGN155" s="14"/>
      <c r="QGO155" s="14"/>
      <c r="QGP155" s="14"/>
      <c r="QGQ155" s="14"/>
      <c r="QGR155" s="14"/>
      <c r="QGS155" s="14"/>
      <c r="QGT155" s="14"/>
      <c r="QGU155" s="14"/>
      <c r="QGV155" s="14"/>
      <c r="QGW155" s="14"/>
      <c r="QGX155" s="14"/>
      <c r="QGY155" s="14"/>
      <c r="QGZ155" s="14"/>
      <c r="QHA155" s="14"/>
      <c r="QHB155" s="14"/>
      <c r="QHC155" s="14"/>
      <c r="QHD155" s="14"/>
      <c r="QHE155" s="14"/>
      <c r="QHF155" s="14"/>
      <c r="QHG155" s="14"/>
      <c r="QHH155" s="14"/>
      <c r="QHI155" s="14"/>
      <c r="QHJ155" s="14"/>
      <c r="QHK155" s="14"/>
      <c r="QHL155" s="14"/>
      <c r="QHM155" s="14"/>
      <c r="QHN155" s="14"/>
      <c r="QHO155" s="14"/>
      <c r="QHP155" s="14"/>
      <c r="QHQ155" s="14"/>
      <c r="QHR155" s="14"/>
      <c r="QHS155" s="14"/>
      <c r="QHT155" s="14"/>
      <c r="QHU155" s="14"/>
      <c r="QHV155" s="14"/>
      <c r="QHW155" s="14"/>
      <c r="QHX155" s="14"/>
      <c r="QHY155" s="14"/>
      <c r="QHZ155" s="14"/>
      <c r="QIA155" s="14"/>
      <c r="QIB155" s="14"/>
      <c r="QIC155" s="14"/>
      <c r="QID155" s="14"/>
      <c r="QIE155" s="14"/>
      <c r="QIF155" s="14"/>
      <c r="QIG155" s="14"/>
      <c r="QIH155" s="14"/>
      <c r="QII155" s="14"/>
      <c r="QIJ155" s="14"/>
      <c r="QIK155" s="14"/>
      <c r="QIL155" s="14"/>
      <c r="QIM155" s="14"/>
      <c r="QIN155" s="14"/>
      <c r="QIO155" s="14"/>
      <c r="QIP155" s="14"/>
      <c r="QIQ155" s="14"/>
      <c r="QIR155" s="14"/>
      <c r="QIS155" s="14"/>
      <c r="QIT155" s="14"/>
      <c r="QIU155" s="14"/>
      <c r="QIV155" s="14"/>
      <c r="QIW155" s="14"/>
      <c r="QIX155" s="14"/>
      <c r="QIY155" s="14"/>
      <c r="QIZ155" s="14"/>
      <c r="QJA155" s="14"/>
      <c r="QJB155" s="14"/>
      <c r="QJC155" s="14"/>
      <c r="QJD155" s="14"/>
      <c r="QJE155" s="14"/>
      <c r="QJF155" s="14"/>
      <c r="QJG155" s="14"/>
      <c r="QJH155" s="14"/>
      <c r="QJI155" s="14"/>
      <c r="QJJ155" s="14"/>
      <c r="QJK155" s="14"/>
      <c r="QJL155" s="14"/>
      <c r="QJM155" s="14"/>
      <c r="QJN155" s="14"/>
      <c r="QJO155" s="14"/>
      <c r="QJP155" s="14"/>
      <c r="QJQ155" s="14"/>
      <c r="QJR155" s="14"/>
      <c r="QJS155" s="14"/>
      <c r="QJT155" s="14"/>
      <c r="QJU155" s="14"/>
      <c r="QJV155" s="14"/>
      <c r="QJW155" s="14"/>
      <c r="QJX155" s="14"/>
      <c r="QJY155" s="14"/>
      <c r="QJZ155" s="14"/>
      <c r="QKA155" s="14"/>
      <c r="QKB155" s="14"/>
      <c r="QKC155" s="14"/>
      <c r="QKD155" s="14"/>
      <c r="QKE155" s="14"/>
      <c r="QKF155" s="14"/>
      <c r="QKG155" s="14"/>
      <c r="QKH155" s="14"/>
      <c r="QKI155" s="14"/>
      <c r="QKJ155" s="14"/>
      <c r="QKK155" s="14"/>
      <c r="QKL155" s="14"/>
      <c r="QKM155" s="14"/>
      <c r="QKN155" s="14"/>
      <c r="QKO155" s="14"/>
      <c r="QKP155" s="14"/>
      <c r="QKQ155" s="14"/>
      <c r="QKR155" s="14"/>
      <c r="QKS155" s="14"/>
      <c r="QKT155" s="14"/>
      <c r="QKU155" s="14"/>
      <c r="QKV155" s="14"/>
      <c r="QKW155" s="14"/>
      <c r="QKX155" s="14"/>
      <c r="QKY155" s="14"/>
      <c r="QKZ155" s="14"/>
      <c r="QLA155" s="14"/>
      <c r="QLB155" s="14"/>
      <c r="QLC155" s="14"/>
      <c r="QLD155" s="14"/>
      <c r="QLE155" s="14"/>
      <c r="QLF155" s="14"/>
      <c r="QLG155" s="14"/>
      <c r="QLH155" s="14"/>
      <c r="QLI155" s="14"/>
      <c r="QLJ155" s="14"/>
      <c r="QLK155" s="14"/>
      <c r="QLL155" s="14"/>
      <c r="QLM155" s="14"/>
      <c r="QLN155" s="14"/>
      <c r="QLO155" s="14"/>
      <c r="QLP155" s="14"/>
      <c r="QLQ155" s="14"/>
      <c r="QLR155" s="14"/>
      <c r="QLS155" s="14"/>
      <c r="QLT155" s="14"/>
      <c r="QLU155" s="14"/>
      <c r="QLV155" s="14"/>
      <c r="QLW155" s="14"/>
      <c r="QLX155" s="14"/>
      <c r="QLY155" s="14"/>
      <c r="QLZ155" s="14"/>
      <c r="QMA155" s="14"/>
      <c r="QMB155" s="14"/>
      <c r="QMC155" s="14"/>
      <c r="QMD155" s="14"/>
      <c r="QME155" s="14"/>
      <c r="QMF155" s="14"/>
      <c r="QMG155" s="14"/>
      <c r="QMH155" s="14"/>
      <c r="QMI155" s="14"/>
      <c r="QMJ155" s="14"/>
      <c r="QMK155" s="14"/>
      <c r="QML155" s="14"/>
      <c r="QMM155" s="14"/>
      <c r="QMN155" s="14"/>
      <c r="QMO155" s="14"/>
      <c r="QMP155" s="14"/>
      <c r="QMQ155" s="14"/>
      <c r="QMR155" s="14"/>
      <c r="QMS155" s="14"/>
      <c r="QMT155" s="14"/>
      <c r="QMU155" s="14"/>
      <c r="QMV155" s="14"/>
      <c r="QMW155" s="14"/>
      <c r="QMX155" s="14"/>
      <c r="QMY155" s="14"/>
      <c r="QMZ155" s="14"/>
      <c r="QNA155" s="14"/>
      <c r="QNB155" s="14"/>
      <c r="QNC155" s="14"/>
      <c r="QND155" s="14"/>
      <c r="QNE155" s="14"/>
      <c r="QNF155" s="14"/>
      <c r="QNG155" s="14"/>
      <c r="QNH155" s="14"/>
      <c r="QNI155" s="14"/>
      <c r="QNJ155" s="14"/>
      <c r="QNK155" s="14"/>
      <c r="QNL155" s="14"/>
      <c r="QNM155" s="14"/>
      <c r="QNN155" s="14"/>
      <c r="QNO155" s="14"/>
      <c r="QNP155" s="14"/>
      <c r="QNQ155" s="14"/>
      <c r="QNR155" s="14"/>
      <c r="QNS155" s="14"/>
      <c r="QNT155" s="14"/>
      <c r="QNU155" s="14"/>
      <c r="QNV155" s="14"/>
      <c r="QNW155" s="14"/>
      <c r="QNX155" s="14"/>
      <c r="QNY155" s="14"/>
      <c r="QNZ155" s="14"/>
      <c r="QOA155" s="14"/>
      <c r="QOB155" s="14"/>
      <c r="QOC155" s="14"/>
      <c r="QOD155" s="14"/>
      <c r="QOE155" s="14"/>
      <c r="QOF155" s="14"/>
      <c r="QOG155" s="14"/>
      <c r="QOH155" s="14"/>
      <c r="QOI155" s="14"/>
      <c r="QOJ155" s="14"/>
      <c r="QOK155" s="14"/>
      <c r="QOL155" s="14"/>
      <c r="QOM155" s="14"/>
      <c r="QON155" s="14"/>
      <c r="QOO155" s="14"/>
      <c r="QOP155" s="14"/>
      <c r="QOQ155" s="14"/>
      <c r="QOR155" s="14"/>
      <c r="QOS155" s="14"/>
      <c r="QOT155" s="14"/>
      <c r="QOU155" s="14"/>
      <c r="QOV155" s="14"/>
      <c r="QOW155" s="14"/>
      <c r="QOX155" s="14"/>
      <c r="QOY155" s="14"/>
      <c r="QOZ155" s="14"/>
      <c r="QPA155" s="14"/>
      <c r="QPB155" s="14"/>
      <c r="QPC155" s="14"/>
      <c r="QPD155" s="14"/>
      <c r="QPE155" s="14"/>
      <c r="QPF155" s="14"/>
      <c r="QPG155" s="14"/>
      <c r="QPH155" s="14"/>
      <c r="QPI155" s="14"/>
      <c r="QPJ155" s="14"/>
      <c r="QPK155" s="14"/>
      <c r="QPL155" s="14"/>
      <c r="QPM155" s="14"/>
      <c r="QPN155" s="14"/>
      <c r="QPO155" s="14"/>
      <c r="QPP155" s="14"/>
      <c r="QPQ155" s="14"/>
      <c r="QPR155" s="14"/>
      <c r="QPS155" s="14"/>
      <c r="QPT155" s="14"/>
      <c r="QPU155" s="14"/>
      <c r="QPV155" s="14"/>
      <c r="QPW155" s="14"/>
      <c r="QPX155" s="14"/>
      <c r="QPY155" s="14"/>
      <c r="QPZ155" s="14"/>
      <c r="QQA155" s="14"/>
      <c r="QQB155" s="14"/>
      <c r="QQC155" s="14"/>
      <c r="QQD155" s="14"/>
      <c r="QQE155" s="14"/>
      <c r="QQF155" s="14"/>
      <c r="QQG155" s="14"/>
      <c r="QQH155" s="14"/>
      <c r="QQI155" s="14"/>
      <c r="QQJ155" s="14"/>
      <c r="QQK155" s="14"/>
      <c r="QQL155" s="14"/>
      <c r="QQM155" s="14"/>
      <c r="QQN155" s="14"/>
      <c r="QQO155" s="14"/>
      <c r="QQP155" s="14"/>
      <c r="QQQ155" s="14"/>
      <c r="QQR155" s="14"/>
      <c r="QQS155" s="14"/>
      <c r="QQT155" s="14"/>
      <c r="QQU155" s="14"/>
      <c r="QQV155" s="14"/>
      <c r="QQW155" s="14"/>
      <c r="QQX155" s="14"/>
      <c r="QQY155" s="14"/>
      <c r="QQZ155" s="14"/>
      <c r="QRA155" s="14"/>
      <c r="QRB155" s="14"/>
      <c r="QRC155" s="14"/>
      <c r="QRD155" s="14"/>
      <c r="QRE155" s="14"/>
      <c r="QRF155" s="14"/>
      <c r="QRG155" s="14"/>
      <c r="QRH155" s="14"/>
      <c r="QRI155" s="14"/>
      <c r="QRJ155" s="14"/>
      <c r="QRK155" s="14"/>
      <c r="QRL155" s="14"/>
      <c r="QRM155" s="14"/>
      <c r="QRN155" s="14"/>
      <c r="QRO155" s="14"/>
      <c r="QRP155" s="14"/>
      <c r="QRQ155" s="14"/>
      <c r="QRR155" s="14"/>
      <c r="QRS155" s="14"/>
      <c r="QRT155" s="14"/>
      <c r="QRU155" s="14"/>
      <c r="QRV155" s="14"/>
      <c r="QRW155" s="14"/>
      <c r="QRX155" s="14"/>
      <c r="QRY155" s="14"/>
      <c r="QRZ155" s="14"/>
      <c r="QSA155" s="14"/>
      <c r="QSB155" s="14"/>
      <c r="QSC155" s="14"/>
      <c r="QSD155" s="14"/>
      <c r="QSE155" s="14"/>
      <c r="QSF155" s="14"/>
      <c r="QSG155" s="14"/>
      <c r="QSH155" s="14"/>
      <c r="QSI155" s="14"/>
      <c r="QSJ155" s="14"/>
      <c r="QSK155" s="14"/>
      <c r="QSL155" s="14"/>
      <c r="QSM155" s="14"/>
      <c r="QSN155" s="14"/>
      <c r="QSO155" s="14"/>
      <c r="QSP155" s="14"/>
      <c r="QSQ155" s="14"/>
      <c r="QSR155" s="14"/>
      <c r="QSS155" s="14"/>
      <c r="QST155" s="14"/>
      <c r="QSU155" s="14"/>
      <c r="QSV155" s="14"/>
      <c r="QSW155" s="14"/>
      <c r="QSX155" s="14"/>
      <c r="QSY155" s="14"/>
      <c r="QSZ155" s="14"/>
      <c r="QTA155" s="14"/>
      <c r="QTB155" s="14"/>
      <c r="QTC155" s="14"/>
      <c r="QTD155" s="14"/>
      <c r="QTE155" s="14"/>
      <c r="QTF155" s="14"/>
      <c r="QTG155" s="14"/>
      <c r="QTH155" s="14"/>
      <c r="QTI155" s="14"/>
      <c r="QTJ155" s="14"/>
      <c r="QTK155" s="14"/>
      <c r="QTL155" s="14"/>
      <c r="QTM155" s="14"/>
      <c r="QTN155" s="14"/>
      <c r="QTO155" s="14"/>
      <c r="QTP155" s="14"/>
      <c r="QTQ155" s="14"/>
      <c r="QTR155" s="14"/>
      <c r="QTS155" s="14"/>
      <c r="QTT155" s="14"/>
      <c r="QTU155" s="14"/>
      <c r="QTV155" s="14"/>
      <c r="QTW155" s="14"/>
      <c r="QTX155" s="14"/>
      <c r="QTY155" s="14"/>
      <c r="QTZ155" s="14"/>
      <c r="QUA155" s="14"/>
      <c r="QUB155" s="14"/>
      <c r="QUC155" s="14"/>
      <c r="QUD155" s="14"/>
      <c r="QUE155" s="14"/>
      <c r="QUF155" s="14"/>
      <c r="QUG155" s="14"/>
      <c r="QUH155" s="14"/>
      <c r="QUI155" s="14"/>
      <c r="QUJ155" s="14"/>
      <c r="QUK155" s="14"/>
      <c r="QUL155" s="14"/>
      <c r="QUM155" s="14"/>
      <c r="QUN155" s="14"/>
      <c r="QUO155" s="14"/>
      <c r="QUP155" s="14"/>
      <c r="QUQ155" s="14"/>
      <c r="QUR155" s="14"/>
      <c r="QUS155" s="14"/>
      <c r="QUT155" s="14"/>
      <c r="QUU155" s="14"/>
      <c r="QUV155" s="14"/>
      <c r="QUW155" s="14"/>
      <c r="QUX155" s="14"/>
      <c r="QUY155" s="14"/>
      <c r="QUZ155" s="14"/>
      <c r="QVA155" s="14"/>
      <c r="QVB155" s="14"/>
      <c r="QVC155" s="14"/>
      <c r="QVD155" s="14"/>
      <c r="QVE155" s="14"/>
      <c r="QVF155" s="14"/>
      <c r="QVG155" s="14"/>
      <c r="QVH155" s="14"/>
      <c r="QVI155" s="14"/>
      <c r="QVJ155" s="14"/>
      <c r="QVK155" s="14"/>
      <c r="QVL155" s="14"/>
      <c r="QVM155" s="14"/>
      <c r="QVN155" s="14"/>
      <c r="QVO155" s="14"/>
      <c r="QVP155" s="14"/>
      <c r="QVQ155" s="14"/>
      <c r="QVR155" s="14"/>
      <c r="QVS155" s="14"/>
      <c r="QVT155" s="14"/>
      <c r="QVU155" s="14"/>
      <c r="QVV155" s="14"/>
      <c r="QVW155" s="14"/>
      <c r="QVX155" s="14"/>
      <c r="QVY155" s="14"/>
      <c r="QVZ155" s="14"/>
      <c r="QWA155" s="14"/>
      <c r="QWB155" s="14"/>
      <c r="QWC155" s="14"/>
      <c r="QWD155" s="14"/>
      <c r="QWE155" s="14"/>
      <c r="QWF155" s="14"/>
      <c r="QWG155" s="14"/>
      <c r="QWH155" s="14"/>
      <c r="QWI155" s="14"/>
      <c r="QWJ155" s="14"/>
      <c r="QWK155" s="14"/>
      <c r="QWL155" s="14"/>
      <c r="QWM155" s="14"/>
      <c r="QWN155" s="14"/>
      <c r="QWO155" s="14"/>
      <c r="QWP155" s="14"/>
      <c r="QWQ155" s="14"/>
      <c r="QWR155" s="14"/>
      <c r="QWS155" s="14"/>
      <c r="QWT155" s="14"/>
      <c r="QWU155" s="14"/>
      <c r="QWV155" s="14"/>
      <c r="QWW155" s="14"/>
      <c r="QWX155" s="14"/>
      <c r="QWY155" s="14"/>
      <c r="QWZ155" s="14"/>
      <c r="QXA155" s="14"/>
      <c r="QXB155" s="14"/>
      <c r="QXC155" s="14"/>
      <c r="QXD155" s="14"/>
      <c r="QXE155" s="14"/>
      <c r="QXF155" s="14"/>
      <c r="QXG155" s="14"/>
      <c r="QXH155" s="14"/>
      <c r="QXI155" s="14"/>
      <c r="QXJ155" s="14"/>
      <c r="QXK155" s="14"/>
      <c r="QXL155" s="14"/>
      <c r="QXM155" s="14"/>
      <c r="QXN155" s="14"/>
      <c r="QXO155" s="14"/>
      <c r="QXP155" s="14"/>
      <c r="QXQ155" s="14"/>
      <c r="QXR155" s="14"/>
      <c r="QXS155" s="14"/>
      <c r="QXT155" s="14"/>
      <c r="QXU155" s="14"/>
      <c r="QXV155" s="14"/>
      <c r="QXW155" s="14"/>
      <c r="QXX155" s="14"/>
      <c r="QXY155" s="14"/>
      <c r="QXZ155" s="14"/>
      <c r="QYA155" s="14"/>
      <c r="QYB155" s="14"/>
      <c r="QYC155" s="14"/>
      <c r="QYD155" s="14"/>
      <c r="QYE155" s="14"/>
      <c r="QYF155" s="14"/>
      <c r="QYG155" s="14"/>
      <c r="QYH155" s="14"/>
      <c r="QYI155" s="14"/>
      <c r="QYJ155" s="14"/>
      <c r="QYK155" s="14"/>
      <c r="QYL155" s="14"/>
      <c r="QYM155" s="14"/>
      <c r="QYN155" s="14"/>
      <c r="QYO155" s="14"/>
      <c r="QYP155" s="14"/>
      <c r="QYQ155" s="14"/>
      <c r="QYR155" s="14"/>
      <c r="QYS155" s="14"/>
      <c r="QYT155" s="14"/>
      <c r="QYU155" s="14"/>
      <c r="QYV155" s="14"/>
      <c r="QYW155" s="14"/>
      <c r="QYX155" s="14"/>
      <c r="QYY155" s="14"/>
      <c r="QYZ155" s="14"/>
      <c r="QZA155" s="14"/>
      <c r="QZB155" s="14"/>
      <c r="QZC155" s="14"/>
      <c r="QZD155" s="14"/>
      <c r="QZE155" s="14"/>
      <c r="QZF155" s="14"/>
      <c r="QZG155" s="14"/>
      <c r="QZH155" s="14"/>
      <c r="QZI155" s="14"/>
      <c r="QZJ155" s="14"/>
      <c r="QZK155" s="14"/>
      <c r="QZL155" s="14"/>
      <c r="QZM155" s="14"/>
      <c r="QZN155" s="14"/>
      <c r="QZO155" s="14"/>
      <c r="QZP155" s="14"/>
      <c r="QZQ155" s="14"/>
      <c r="QZR155" s="14"/>
      <c r="QZS155" s="14"/>
      <c r="QZT155" s="14"/>
      <c r="QZU155" s="14"/>
      <c r="QZV155" s="14"/>
      <c r="QZW155" s="14"/>
      <c r="QZX155" s="14"/>
      <c r="QZY155" s="14"/>
      <c r="QZZ155" s="14"/>
      <c r="RAA155" s="14"/>
      <c r="RAB155" s="14"/>
      <c r="RAC155" s="14"/>
      <c r="RAD155" s="14"/>
      <c r="RAE155" s="14"/>
      <c r="RAF155" s="14"/>
      <c r="RAG155" s="14"/>
      <c r="RAH155" s="14"/>
      <c r="RAI155" s="14"/>
      <c r="RAJ155" s="14"/>
      <c r="RAK155" s="14"/>
      <c r="RAL155" s="14"/>
      <c r="RAM155" s="14"/>
      <c r="RAN155" s="14"/>
      <c r="RAO155" s="14"/>
      <c r="RAP155" s="14"/>
      <c r="RAQ155" s="14"/>
      <c r="RAR155" s="14"/>
      <c r="RAS155" s="14"/>
      <c r="RAT155" s="14"/>
      <c r="RAU155" s="14"/>
      <c r="RAV155" s="14"/>
      <c r="RAW155" s="14"/>
      <c r="RAX155" s="14"/>
      <c r="RAY155" s="14"/>
      <c r="RAZ155" s="14"/>
      <c r="RBA155" s="14"/>
      <c r="RBB155" s="14"/>
      <c r="RBC155" s="14"/>
      <c r="RBD155" s="14"/>
      <c r="RBE155" s="14"/>
      <c r="RBF155" s="14"/>
      <c r="RBG155" s="14"/>
      <c r="RBH155" s="14"/>
      <c r="RBI155" s="14"/>
      <c r="RBJ155" s="14"/>
      <c r="RBK155" s="14"/>
      <c r="RBL155" s="14"/>
      <c r="RBM155" s="14"/>
      <c r="RBN155" s="14"/>
      <c r="RBO155" s="14"/>
      <c r="RBP155" s="14"/>
      <c r="RBQ155" s="14"/>
      <c r="RBR155" s="14"/>
      <c r="RBS155" s="14"/>
      <c r="RBT155" s="14"/>
      <c r="RBU155" s="14"/>
      <c r="RBV155" s="14"/>
      <c r="RBW155" s="14"/>
      <c r="RBX155" s="14"/>
      <c r="RBY155" s="14"/>
      <c r="RBZ155" s="14"/>
      <c r="RCA155" s="14"/>
      <c r="RCB155" s="14"/>
      <c r="RCC155" s="14"/>
      <c r="RCD155" s="14"/>
      <c r="RCE155" s="14"/>
      <c r="RCF155" s="14"/>
      <c r="RCG155" s="14"/>
      <c r="RCH155" s="14"/>
      <c r="RCI155" s="14"/>
      <c r="RCJ155" s="14"/>
      <c r="RCK155" s="14"/>
      <c r="RCL155" s="14"/>
      <c r="RCM155" s="14"/>
      <c r="RCN155" s="14"/>
      <c r="RCO155" s="14"/>
      <c r="RCP155" s="14"/>
      <c r="RCQ155" s="14"/>
      <c r="RCR155" s="14"/>
      <c r="RCS155" s="14"/>
      <c r="RCT155" s="14"/>
      <c r="RCU155" s="14"/>
      <c r="RCV155" s="14"/>
      <c r="RCW155" s="14"/>
      <c r="RCX155" s="14"/>
      <c r="RCY155" s="14"/>
      <c r="RCZ155" s="14"/>
      <c r="RDA155" s="14"/>
      <c r="RDB155" s="14"/>
      <c r="RDC155" s="14"/>
      <c r="RDD155" s="14"/>
      <c r="RDE155" s="14"/>
      <c r="RDF155" s="14"/>
      <c r="RDG155" s="14"/>
      <c r="RDH155" s="14"/>
      <c r="RDI155" s="14"/>
      <c r="RDJ155" s="14"/>
      <c r="RDK155" s="14"/>
      <c r="RDL155" s="14"/>
      <c r="RDM155" s="14"/>
      <c r="RDN155" s="14"/>
      <c r="RDO155" s="14"/>
      <c r="RDP155" s="14"/>
      <c r="RDQ155" s="14"/>
      <c r="RDR155" s="14"/>
      <c r="RDS155" s="14"/>
      <c r="RDT155" s="14"/>
      <c r="RDU155" s="14"/>
      <c r="RDV155" s="14"/>
      <c r="RDW155" s="14"/>
      <c r="RDX155" s="14"/>
      <c r="RDY155" s="14"/>
      <c r="RDZ155" s="14"/>
      <c r="REA155" s="14"/>
      <c r="REB155" s="14"/>
      <c r="REC155" s="14"/>
      <c r="RED155" s="14"/>
      <c r="REE155" s="14"/>
      <c r="REF155" s="14"/>
      <c r="REG155" s="14"/>
      <c r="REH155" s="14"/>
      <c r="REI155" s="14"/>
      <c r="REJ155" s="14"/>
      <c r="REK155" s="14"/>
      <c r="REL155" s="14"/>
      <c r="REM155" s="14"/>
      <c r="REN155" s="14"/>
      <c r="REO155" s="14"/>
      <c r="REP155" s="14"/>
      <c r="REQ155" s="14"/>
      <c r="RER155" s="14"/>
      <c r="RES155" s="14"/>
      <c r="RET155" s="14"/>
      <c r="REU155" s="14"/>
      <c r="REV155" s="14"/>
      <c r="REW155" s="14"/>
      <c r="REX155" s="14"/>
      <c r="REY155" s="14"/>
      <c r="REZ155" s="14"/>
      <c r="RFA155" s="14"/>
      <c r="RFB155" s="14"/>
      <c r="RFC155" s="14"/>
      <c r="RFD155" s="14"/>
      <c r="RFE155" s="14"/>
      <c r="RFF155" s="14"/>
      <c r="RFG155" s="14"/>
      <c r="RFH155" s="14"/>
      <c r="RFI155" s="14"/>
      <c r="RFJ155" s="14"/>
      <c r="RFK155" s="14"/>
      <c r="RFL155" s="14"/>
      <c r="RFM155" s="14"/>
      <c r="RFN155" s="14"/>
      <c r="RFO155" s="14"/>
      <c r="RFP155" s="14"/>
      <c r="RFQ155" s="14"/>
      <c r="RFR155" s="14"/>
      <c r="RFS155" s="14"/>
      <c r="RFT155" s="14"/>
      <c r="RFU155" s="14"/>
      <c r="RFV155" s="14"/>
      <c r="RFW155" s="14"/>
      <c r="RFX155" s="14"/>
      <c r="RFY155" s="14"/>
      <c r="RFZ155" s="14"/>
      <c r="RGA155" s="14"/>
      <c r="RGB155" s="14"/>
      <c r="RGC155" s="14"/>
      <c r="RGD155" s="14"/>
      <c r="RGE155" s="14"/>
      <c r="RGF155" s="14"/>
      <c r="RGG155" s="14"/>
      <c r="RGH155" s="14"/>
      <c r="RGI155" s="14"/>
      <c r="RGJ155" s="14"/>
      <c r="RGK155" s="14"/>
      <c r="RGL155" s="14"/>
      <c r="RGM155" s="14"/>
      <c r="RGN155" s="14"/>
      <c r="RGO155" s="14"/>
      <c r="RGP155" s="14"/>
      <c r="RGQ155" s="14"/>
      <c r="RGR155" s="14"/>
      <c r="RGS155" s="14"/>
      <c r="RGT155" s="14"/>
      <c r="RGU155" s="14"/>
      <c r="RGV155" s="14"/>
      <c r="RGW155" s="14"/>
      <c r="RGX155" s="14"/>
      <c r="RGY155" s="14"/>
      <c r="RGZ155" s="14"/>
      <c r="RHA155" s="14"/>
      <c r="RHB155" s="14"/>
      <c r="RHC155" s="14"/>
      <c r="RHD155" s="14"/>
      <c r="RHE155" s="14"/>
      <c r="RHF155" s="14"/>
      <c r="RHG155" s="14"/>
      <c r="RHH155" s="14"/>
      <c r="RHI155" s="14"/>
      <c r="RHJ155" s="14"/>
      <c r="RHK155" s="14"/>
      <c r="RHL155" s="14"/>
      <c r="RHM155" s="14"/>
      <c r="RHN155" s="14"/>
      <c r="RHO155" s="14"/>
      <c r="RHP155" s="14"/>
      <c r="RHQ155" s="14"/>
      <c r="RHR155" s="14"/>
      <c r="RHS155" s="14"/>
      <c r="RHT155" s="14"/>
      <c r="RHU155" s="14"/>
      <c r="RHV155" s="14"/>
      <c r="RHW155" s="14"/>
      <c r="RHX155" s="14"/>
      <c r="RHY155" s="14"/>
      <c r="RHZ155" s="14"/>
      <c r="RIA155" s="14"/>
      <c r="RIB155" s="14"/>
      <c r="RIC155" s="14"/>
      <c r="RID155" s="14"/>
      <c r="RIE155" s="14"/>
      <c r="RIF155" s="14"/>
      <c r="RIG155" s="14"/>
      <c r="RIH155" s="14"/>
      <c r="RII155" s="14"/>
      <c r="RIJ155" s="14"/>
      <c r="RIK155" s="14"/>
      <c r="RIL155" s="14"/>
      <c r="RIM155" s="14"/>
      <c r="RIN155" s="14"/>
      <c r="RIO155" s="14"/>
      <c r="RIP155" s="14"/>
      <c r="RIQ155" s="14"/>
      <c r="RIR155" s="14"/>
      <c r="RIS155" s="14"/>
      <c r="RIT155" s="14"/>
      <c r="RIU155" s="14"/>
      <c r="RIV155" s="14"/>
      <c r="RIW155" s="14"/>
      <c r="RIX155" s="14"/>
      <c r="RIY155" s="14"/>
      <c r="RIZ155" s="14"/>
      <c r="RJA155" s="14"/>
      <c r="RJB155" s="14"/>
      <c r="RJC155" s="14"/>
      <c r="RJD155" s="14"/>
      <c r="RJE155" s="14"/>
      <c r="RJF155" s="14"/>
      <c r="RJG155" s="14"/>
      <c r="RJH155" s="14"/>
      <c r="RJI155" s="14"/>
      <c r="RJJ155" s="14"/>
      <c r="RJK155" s="14"/>
      <c r="RJL155" s="14"/>
      <c r="RJM155" s="14"/>
      <c r="RJN155" s="14"/>
      <c r="RJO155" s="14"/>
      <c r="RJP155" s="14"/>
      <c r="RJQ155" s="14"/>
      <c r="RJR155" s="14"/>
      <c r="RJS155" s="14"/>
      <c r="RJT155" s="14"/>
      <c r="RJU155" s="14"/>
      <c r="RJV155" s="14"/>
      <c r="RJW155" s="14"/>
      <c r="RJX155" s="14"/>
      <c r="RJY155" s="14"/>
      <c r="RJZ155" s="14"/>
      <c r="RKA155" s="14"/>
      <c r="RKB155" s="14"/>
      <c r="RKC155" s="14"/>
      <c r="RKD155" s="14"/>
      <c r="RKE155" s="14"/>
      <c r="RKF155" s="14"/>
      <c r="RKG155" s="14"/>
      <c r="RKH155" s="14"/>
      <c r="RKI155" s="14"/>
      <c r="RKJ155" s="14"/>
      <c r="RKK155" s="14"/>
      <c r="RKL155" s="14"/>
      <c r="RKM155" s="14"/>
      <c r="RKN155" s="14"/>
      <c r="RKO155" s="14"/>
      <c r="RKP155" s="14"/>
      <c r="RKQ155" s="14"/>
      <c r="RKR155" s="14"/>
      <c r="RKS155" s="14"/>
      <c r="RKT155" s="14"/>
      <c r="RKU155" s="14"/>
      <c r="RKV155" s="14"/>
      <c r="RKW155" s="14"/>
      <c r="RKX155" s="14"/>
      <c r="RKY155" s="14"/>
      <c r="RKZ155" s="14"/>
      <c r="RLA155" s="14"/>
      <c r="RLB155" s="14"/>
      <c r="RLC155" s="14"/>
      <c r="RLD155" s="14"/>
      <c r="RLE155" s="14"/>
      <c r="RLF155" s="14"/>
      <c r="RLG155" s="14"/>
      <c r="RLH155" s="14"/>
      <c r="RLI155" s="14"/>
      <c r="RLJ155" s="14"/>
      <c r="RLK155" s="14"/>
      <c r="RLL155" s="14"/>
      <c r="RLM155" s="14"/>
      <c r="RLN155" s="14"/>
      <c r="RLO155" s="14"/>
      <c r="RLP155" s="14"/>
      <c r="RLQ155" s="14"/>
      <c r="RLR155" s="14"/>
      <c r="RLS155" s="14"/>
      <c r="RLT155" s="14"/>
      <c r="RLU155" s="14"/>
      <c r="RLV155" s="14"/>
      <c r="RLW155" s="14"/>
      <c r="RLX155" s="14"/>
      <c r="RLY155" s="14"/>
      <c r="RLZ155" s="14"/>
      <c r="RMA155" s="14"/>
      <c r="RMB155" s="14"/>
      <c r="RMC155" s="14"/>
      <c r="RMD155" s="14"/>
      <c r="RME155" s="14"/>
      <c r="RMF155" s="14"/>
      <c r="RMG155" s="14"/>
      <c r="RMH155" s="14"/>
      <c r="RMI155" s="14"/>
      <c r="RMJ155" s="14"/>
      <c r="RMK155" s="14"/>
      <c r="RML155" s="14"/>
      <c r="RMM155" s="14"/>
      <c r="RMN155" s="14"/>
      <c r="RMO155" s="14"/>
      <c r="RMP155" s="14"/>
      <c r="RMQ155" s="14"/>
      <c r="RMR155" s="14"/>
      <c r="RMS155" s="14"/>
      <c r="RMT155" s="14"/>
      <c r="RMU155" s="14"/>
      <c r="RMV155" s="14"/>
      <c r="RMW155" s="14"/>
      <c r="RMX155" s="14"/>
      <c r="RMY155" s="14"/>
      <c r="RMZ155" s="14"/>
      <c r="RNA155" s="14"/>
      <c r="RNB155" s="14"/>
      <c r="RNC155" s="14"/>
      <c r="RND155" s="14"/>
      <c r="RNE155" s="14"/>
      <c r="RNF155" s="14"/>
      <c r="RNG155" s="14"/>
      <c r="RNH155" s="14"/>
      <c r="RNI155" s="14"/>
      <c r="RNJ155" s="14"/>
      <c r="RNK155" s="14"/>
      <c r="RNL155" s="14"/>
      <c r="RNM155" s="14"/>
      <c r="RNN155" s="14"/>
      <c r="RNO155" s="14"/>
      <c r="RNP155" s="14"/>
      <c r="RNQ155" s="14"/>
      <c r="RNR155" s="14"/>
      <c r="RNS155" s="14"/>
      <c r="RNT155" s="14"/>
      <c r="RNU155" s="14"/>
      <c r="RNV155" s="14"/>
      <c r="RNW155" s="14"/>
      <c r="RNX155" s="14"/>
      <c r="RNY155" s="14"/>
      <c r="RNZ155" s="14"/>
      <c r="ROA155" s="14"/>
      <c r="ROB155" s="14"/>
      <c r="ROC155" s="14"/>
      <c r="ROD155" s="14"/>
      <c r="ROE155" s="14"/>
      <c r="ROF155" s="14"/>
      <c r="ROG155" s="14"/>
      <c r="ROH155" s="14"/>
      <c r="ROI155" s="14"/>
      <c r="ROJ155" s="14"/>
      <c r="ROK155" s="14"/>
      <c r="ROL155" s="14"/>
      <c r="ROM155" s="14"/>
      <c r="RON155" s="14"/>
      <c r="ROO155" s="14"/>
      <c r="ROP155" s="14"/>
      <c r="ROQ155" s="14"/>
      <c r="ROR155" s="14"/>
      <c r="ROS155" s="14"/>
      <c r="ROT155" s="14"/>
      <c r="ROU155" s="14"/>
      <c r="ROV155" s="14"/>
      <c r="ROW155" s="14"/>
      <c r="ROX155" s="14"/>
      <c r="ROY155" s="14"/>
      <c r="ROZ155" s="14"/>
      <c r="RPA155" s="14"/>
      <c r="RPB155" s="14"/>
      <c r="RPC155" s="14"/>
      <c r="RPD155" s="14"/>
      <c r="RPE155" s="14"/>
      <c r="RPF155" s="14"/>
      <c r="RPG155" s="14"/>
      <c r="RPH155" s="14"/>
      <c r="RPI155" s="14"/>
      <c r="RPJ155" s="14"/>
      <c r="RPK155" s="14"/>
      <c r="RPL155" s="14"/>
      <c r="RPM155" s="14"/>
      <c r="RPN155" s="14"/>
      <c r="RPO155" s="14"/>
      <c r="RPP155" s="14"/>
      <c r="RPQ155" s="14"/>
      <c r="RPR155" s="14"/>
      <c r="RPS155" s="14"/>
      <c r="RPT155" s="14"/>
      <c r="RPU155" s="14"/>
      <c r="RPV155" s="14"/>
      <c r="RPW155" s="14"/>
      <c r="RPX155" s="14"/>
      <c r="RPY155" s="14"/>
      <c r="RPZ155" s="14"/>
      <c r="RQA155" s="14"/>
      <c r="RQB155" s="14"/>
      <c r="RQC155" s="14"/>
      <c r="RQD155" s="14"/>
      <c r="RQE155" s="14"/>
      <c r="RQF155" s="14"/>
      <c r="RQG155" s="14"/>
      <c r="RQH155" s="14"/>
      <c r="RQI155" s="14"/>
      <c r="RQJ155" s="14"/>
      <c r="RQK155" s="14"/>
      <c r="RQL155" s="14"/>
      <c r="RQM155" s="14"/>
      <c r="RQN155" s="14"/>
      <c r="RQO155" s="14"/>
      <c r="RQP155" s="14"/>
      <c r="RQQ155" s="14"/>
      <c r="RQR155" s="14"/>
      <c r="RQS155" s="14"/>
      <c r="RQT155" s="14"/>
      <c r="RQU155" s="14"/>
      <c r="RQV155" s="14"/>
      <c r="RQW155" s="14"/>
      <c r="RQX155" s="14"/>
      <c r="RQY155" s="14"/>
      <c r="RQZ155" s="14"/>
      <c r="RRA155" s="14"/>
      <c r="RRB155" s="14"/>
      <c r="RRC155" s="14"/>
      <c r="RRD155" s="14"/>
      <c r="RRE155" s="14"/>
      <c r="RRF155" s="14"/>
      <c r="RRG155" s="14"/>
      <c r="RRH155" s="14"/>
      <c r="RRI155" s="14"/>
      <c r="RRJ155" s="14"/>
      <c r="RRK155" s="14"/>
      <c r="RRL155" s="14"/>
      <c r="RRM155" s="14"/>
      <c r="RRN155" s="14"/>
      <c r="RRO155" s="14"/>
      <c r="RRP155" s="14"/>
      <c r="RRQ155" s="14"/>
      <c r="RRR155" s="14"/>
      <c r="RRS155" s="14"/>
      <c r="RRT155" s="14"/>
      <c r="RRU155" s="14"/>
      <c r="RRV155" s="14"/>
      <c r="RRW155" s="14"/>
      <c r="RRX155" s="14"/>
      <c r="RRY155" s="14"/>
      <c r="RRZ155" s="14"/>
      <c r="RSA155" s="14"/>
      <c r="RSB155" s="14"/>
      <c r="RSC155" s="14"/>
      <c r="RSD155" s="14"/>
      <c r="RSE155" s="14"/>
      <c r="RSF155" s="14"/>
      <c r="RSG155" s="14"/>
      <c r="RSH155" s="14"/>
      <c r="RSI155" s="14"/>
      <c r="RSJ155" s="14"/>
      <c r="RSK155" s="14"/>
      <c r="RSL155" s="14"/>
      <c r="RSM155" s="14"/>
      <c r="RSN155" s="14"/>
      <c r="RSO155" s="14"/>
      <c r="RSP155" s="14"/>
      <c r="RSQ155" s="14"/>
      <c r="RSR155" s="14"/>
      <c r="RSS155" s="14"/>
      <c r="RST155" s="14"/>
      <c r="RSU155" s="14"/>
      <c r="RSV155" s="14"/>
      <c r="RSW155" s="14"/>
      <c r="RSX155" s="14"/>
      <c r="RSY155" s="14"/>
      <c r="RSZ155" s="14"/>
      <c r="RTA155" s="14"/>
      <c r="RTB155" s="14"/>
      <c r="RTC155" s="14"/>
      <c r="RTD155" s="14"/>
      <c r="RTE155" s="14"/>
      <c r="RTF155" s="14"/>
      <c r="RTG155" s="14"/>
      <c r="RTH155" s="14"/>
      <c r="RTI155" s="14"/>
      <c r="RTJ155" s="14"/>
      <c r="RTK155" s="14"/>
      <c r="RTL155" s="14"/>
      <c r="RTM155" s="14"/>
      <c r="RTN155" s="14"/>
      <c r="RTO155" s="14"/>
      <c r="RTP155" s="14"/>
      <c r="RTQ155" s="14"/>
      <c r="RTR155" s="14"/>
      <c r="RTS155" s="14"/>
      <c r="RTT155" s="14"/>
      <c r="RTU155" s="14"/>
      <c r="RTV155" s="14"/>
      <c r="RTW155" s="14"/>
      <c r="RTX155" s="14"/>
      <c r="RTY155" s="14"/>
      <c r="RTZ155" s="14"/>
      <c r="RUA155" s="14"/>
      <c r="RUB155" s="14"/>
      <c r="RUC155" s="14"/>
      <c r="RUD155" s="14"/>
      <c r="RUE155" s="14"/>
      <c r="RUF155" s="14"/>
      <c r="RUG155" s="14"/>
      <c r="RUH155" s="14"/>
      <c r="RUI155" s="14"/>
      <c r="RUJ155" s="14"/>
      <c r="RUK155" s="14"/>
      <c r="RUL155" s="14"/>
      <c r="RUM155" s="14"/>
      <c r="RUN155" s="14"/>
      <c r="RUO155" s="14"/>
      <c r="RUP155" s="14"/>
      <c r="RUQ155" s="14"/>
      <c r="RUR155" s="14"/>
      <c r="RUS155" s="14"/>
      <c r="RUT155" s="14"/>
      <c r="RUU155" s="14"/>
      <c r="RUV155" s="14"/>
      <c r="RUW155" s="14"/>
      <c r="RUX155" s="14"/>
      <c r="RUY155" s="14"/>
      <c r="RUZ155" s="14"/>
      <c r="RVA155" s="14"/>
      <c r="RVB155" s="14"/>
      <c r="RVC155" s="14"/>
      <c r="RVD155" s="14"/>
      <c r="RVE155" s="14"/>
      <c r="RVF155" s="14"/>
      <c r="RVG155" s="14"/>
      <c r="RVH155" s="14"/>
      <c r="RVI155" s="14"/>
      <c r="RVJ155" s="14"/>
      <c r="RVK155" s="14"/>
      <c r="RVL155" s="14"/>
      <c r="RVM155" s="14"/>
      <c r="RVN155" s="14"/>
      <c r="RVO155" s="14"/>
      <c r="RVP155" s="14"/>
      <c r="RVQ155" s="14"/>
      <c r="RVR155" s="14"/>
      <c r="RVS155" s="14"/>
      <c r="RVT155" s="14"/>
      <c r="RVU155" s="14"/>
      <c r="RVV155" s="14"/>
      <c r="RVW155" s="14"/>
      <c r="RVX155" s="14"/>
      <c r="RVY155" s="14"/>
      <c r="RVZ155" s="14"/>
      <c r="RWA155" s="14"/>
      <c r="RWB155" s="14"/>
      <c r="RWC155" s="14"/>
      <c r="RWD155" s="14"/>
      <c r="RWE155" s="14"/>
      <c r="RWF155" s="14"/>
      <c r="RWG155" s="14"/>
      <c r="RWH155" s="14"/>
      <c r="RWI155" s="14"/>
      <c r="RWJ155" s="14"/>
      <c r="RWK155" s="14"/>
      <c r="RWL155" s="14"/>
      <c r="RWM155" s="14"/>
      <c r="RWN155" s="14"/>
      <c r="RWO155" s="14"/>
      <c r="RWP155" s="14"/>
      <c r="RWQ155" s="14"/>
      <c r="RWR155" s="14"/>
      <c r="RWS155" s="14"/>
      <c r="RWT155" s="14"/>
      <c r="RWU155" s="14"/>
      <c r="RWV155" s="14"/>
      <c r="RWW155" s="14"/>
      <c r="RWX155" s="14"/>
      <c r="RWY155" s="14"/>
      <c r="RWZ155" s="14"/>
      <c r="RXA155" s="14"/>
      <c r="RXB155" s="14"/>
      <c r="RXC155" s="14"/>
      <c r="RXD155" s="14"/>
      <c r="RXE155" s="14"/>
      <c r="RXF155" s="14"/>
      <c r="RXG155" s="14"/>
      <c r="RXH155" s="14"/>
      <c r="RXI155" s="14"/>
      <c r="RXJ155" s="14"/>
      <c r="RXK155" s="14"/>
      <c r="RXL155" s="14"/>
      <c r="RXM155" s="14"/>
      <c r="RXN155" s="14"/>
      <c r="RXO155" s="14"/>
      <c r="RXP155" s="14"/>
      <c r="RXQ155" s="14"/>
      <c r="RXR155" s="14"/>
      <c r="RXS155" s="14"/>
      <c r="RXT155" s="14"/>
      <c r="RXU155" s="14"/>
      <c r="RXV155" s="14"/>
      <c r="RXW155" s="14"/>
      <c r="RXX155" s="14"/>
      <c r="RXY155" s="14"/>
      <c r="RXZ155" s="14"/>
      <c r="RYA155" s="14"/>
      <c r="RYB155" s="14"/>
      <c r="RYC155" s="14"/>
      <c r="RYD155" s="14"/>
      <c r="RYE155" s="14"/>
      <c r="RYF155" s="14"/>
      <c r="RYG155" s="14"/>
      <c r="RYH155" s="14"/>
      <c r="RYI155" s="14"/>
      <c r="RYJ155" s="14"/>
      <c r="RYK155" s="14"/>
      <c r="RYL155" s="14"/>
      <c r="RYM155" s="14"/>
      <c r="RYN155" s="14"/>
      <c r="RYO155" s="14"/>
      <c r="RYP155" s="14"/>
      <c r="RYQ155" s="14"/>
      <c r="RYR155" s="14"/>
      <c r="RYS155" s="14"/>
      <c r="RYT155" s="14"/>
      <c r="RYU155" s="14"/>
      <c r="RYV155" s="14"/>
      <c r="RYW155" s="14"/>
      <c r="RYX155" s="14"/>
      <c r="RYY155" s="14"/>
      <c r="RYZ155" s="14"/>
      <c r="RZA155" s="14"/>
      <c r="RZB155" s="14"/>
      <c r="RZC155" s="14"/>
      <c r="RZD155" s="14"/>
      <c r="RZE155" s="14"/>
      <c r="RZF155" s="14"/>
      <c r="RZG155" s="14"/>
      <c r="RZH155" s="14"/>
      <c r="RZI155" s="14"/>
      <c r="RZJ155" s="14"/>
      <c r="RZK155" s="14"/>
      <c r="RZL155" s="14"/>
      <c r="RZM155" s="14"/>
      <c r="RZN155" s="14"/>
      <c r="RZO155" s="14"/>
      <c r="RZP155" s="14"/>
      <c r="RZQ155" s="14"/>
      <c r="RZR155" s="14"/>
      <c r="RZS155" s="14"/>
      <c r="RZT155" s="14"/>
      <c r="RZU155" s="14"/>
      <c r="RZV155" s="14"/>
      <c r="RZW155" s="14"/>
      <c r="RZX155" s="14"/>
      <c r="RZY155" s="14"/>
      <c r="RZZ155" s="14"/>
      <c r="SAA155" s="14"/>
      <c r="SAB155" s="14"/>
      <c r="SAC155" s="14"/>
      <c r="SAD155" s="14"/>
      <c r="SAE155" s="14"/>
      <c r="SAF155" s="14"/>
      <c r="SAG155" s="14"/>
      <c r="SAH155" s="14"/>
      <c r="SAI155" s="14"/>
      <c r="SAJ155" s="14"/>
      <c r="SAK155" s="14"/>
      <c r="SAL155" s="14"/>
      <c r="SAM155" s="14"/>
      <c r="SAN155" s="14"/>
      <c r="SAO155" s="14"/>
      <c r="SAP155" s="14"/>
      <c r="SAQ155" s="14"/>
      <c r="SAR155" s="14"/>
      <c r="SAS155" s="14"/>
      <c r="SAT155" s="14"/>
      <c r="SAU155" s="14"/>
      <c r="SAV155" s="14"/>
      <c r="SAW155" s="14"/>
      <c r="SAX155" s="14"/>
      <c r="SAY155" s="14"/>
      <c r="SAZ155" s="14"/>
      <c r="SBA155" s="14"/>
      <c r="SBB155" s="14"/>
      <c r="SBC155" s="14"/>
      <c r="SBD155" s="14"/>
      <c r="SBE155" s="14"/>
      <c r="SBF155" s="14"/>
      <c r="SBG155" s="14"/>
      <c r="SBH155" s="14"/>
      <c r="SBI155" s="14"/>
      <c r="SBJ155" s="14"/>
      <c r="SBK155" s="14"/>
      <c r="SBL155" s="14"/>
      <c r="SBM155" s="14"/>
      <c r="SBN155" s="14"/>
      <c r="SBO155" s="14"/>
      <c r="SBP155" s="14"/>
      <c r="SBQ155" s="14"/>
      <c r="SBR155" s="14"/>
      <c r="SBS155" s="14"/>
      <c r="SBT155" s="14"/>
      <c r="SBU155" s="14"/>
      <c r="SBV155" s="14"/>
      <c r="SBW155" s="14"/>
      <c r="SBX155" s="14"/>
      <c r="SBY155" s="14"/>
      <c r="SBZ155" s="14"/>
      <c r="SCA155" s="14"/>
      <c r="SCB155" s="14"/>
      <c r="SCC155" s="14"/>
      <c r="SCD155" s="14"/>
      <c r="SCE155" s="14"/>
      <c r="SCF155" s="14"/>
      <c r="SCG155" s="14"/>
      <c r="SCH155" s="14"/>
      <c r="SCI155" s="14"/>
      <c r="SCJ155" s="14"/>
      <c r="SCK155" s="14"/>
      <c r="SCL155" s="14"/>
      <c r="SCM155" s="14"/>
      <c r="SCN155" s="14"/>
      <c r="SCO155" s="14"/>
      <c r="SCP155" s="14"/>
      <c r="SCQ155" s="14"/>
      <c r="SCR155" s="14"/>
      <c r="SCS155" s="14"/>
      <c r="SCT155" s="14"/>
      <c r="SCU155" s="14"/>
      <c r="SCV155" s="14"/>
      <c r="SCW155" s="14"/>
      <c r="SCX155" s="14"/>
      <c r="SCY155" s="14"/>
      <c r="SCZ155" s="14"/>
      <c r="SDA155" s="14"/>
      <c r="SDB155" s="14"/>
      <c r="SDC155" s="14"/>
      <c r="SDD155" s="14"/>
      <c r="SDE155" s="14"/>
      <c r="SDF155" s="14"/>
      <c r="SDG155" s="14"/>
      <c r="SDH155" s="14"/>
      <c r="SDI155" s="14"/>
      <c r="SDJ155" s="14"/>
      <c r="SDK155" s="14"/>
      <c r="SDL155" s="14"/>
      <c r="SDM155" s="14"/>
      <c r="SDN155" s="14"/>
      <c r="SDO155" s="14"/>
      <c r="SDP155" s="14"/>
      <c r="SDQ155" s="14"/>
      <c r="SDR155" s="14"/>
      <c r="SDS155" s="14"/>
      <c r="SDT155" s="14"/>
      <c r="SDU155" s="14"/>
      <c r="SDV155" s="14"/>
      <c r="SDW155" s="14"/>
      <c r="SDX155" s="14"/>
      <c r="SDY155" s="14"/>
      <c r="SDZ155" s="14"/>
      <c r="SEA155" s="14"/>
      <c r="SEB155" s="14"/>
      <c r="SEC155" s="14"/>
      <c r="SED155" s="14"/>
      <c r="SEE155" s="14"/>
      <c r="SEF155" s="14"/>
      <c r="SEG155" s="14"/>
      <c r="SEH155" s="14"/>
      <c r="SEI155" s="14"/>
      <c r="SEJ155" s="14"/>
      <c r="SEK155" s="14"/>
      <c r="SEL155" s="14"/>
      <c r="SEM155" s="14"/>
      <c r="SEN155" s="14"/>
      <c r="SEO155" s="14"/>
      <c r="SEP155" s="14"/>
      <c r="SEQ155" s="14"/>
      <c r="SER155" s="14"/>
      <c r="SES155" s="14"/>
      <c r="SET155" s="14"/>
      <c r="SEU155" s="14"/>
      <c r="SEV155" s="14"/>
      <c r="SEW155" s="14"/>
      <c r="SEX155" s="14"/>
      <c r="SEY155" s="14"/>
      <c r="SEZ155" s="14"/>
      <c r="SFA155" s="14"/>
      <c r="SFB155" s="14"/>
      <c r="SFC155" s="14"/>
      <c r="SFD155" s="14"/>
      <c r="SFE155" s="14"/>
      <c r="SFF155" s="14"/>
      <c r="SFG155" s="14"/>
      <c r="SFH155" s="14"/>
      <c r="SFI155" s="14"/>
      <c r="SFJ155" s="14"/>
      <c r="SFK155" s="14"/>
      <c r="SFL155" s="14"/>
      <c r="SFM155" s="14"/>
      <c r="SFN155" s="14"/>
      <c r="SFO155" s="14"/>
      <c r="SFP155" s="14"/>
      <c r="SFQ155" s="14"/>
      <c r="SFR155" s="14"/>
      <c r="SFS155" s="14"/>
      <c r="SFT155" s="14"/>
      <c r="SFU155" s="14"/>
      <c r="SFV155" s="14"/>
      <c r="SFW155" s="14"/>
      <c r="SFX155" s="14"/>
      <c r="SFY155" s="14"/>
      <c r="SFZ155" s="14"/>
      <c r="SGA155" s="14"/>
      <c r="SGB155" s="14"/>
      <c r="SGC155" s="14"/>
      <c r="SGD155" s="14"/>
      <c r="SGE155" s="14"/>
      <c r="SGF155" s="14"/>
      <c r="SGG155" s="14"/>
      <c r="SGH155" s="14"/>
      <c r="SGI155" s="14"/>
      <c r="SGJ155" s="14"/>
      <c r="SGK155" s="14"/>
      <c r="SGL155" s="14"/>
      <c r="SGM155" s="14"/>
      <c r="SGN155" s="14"/>
      <c r="SGO155" s="14"/>
      <c r="SGP155" s="14"/>
      <c r="SGQ155" s="14"/>
      <c r="SGR155" s="14"/>
      <c r="SGS155" s="14"/>
      <c r="SGT155" s="14"/>
      <c r="SGU155" s="14"/>
      <c r="SGV155" s="14"/>
      <c r="SGW155" s="14"/>
      <c r="SGX155" s="14"/>
      <c r="SGY155" s="14"/>
      <c r="SGZ155" s="14"/>
      <c r="SHA155" s="14"/>
      <c r="SHB155" s="14"/>
      <c r="SHC155" s="14"/>
      <c r="SHD155" s="14"/>
      <c r="SHE155" s="14"/>
      <c r="SHF155" s="14"/>
      <c r="SHG155" s="14"/>
      <c r="SHH155" s="14"/>
      <c r="SHI155" s="14"/>
      <c r="SHJ155" s="14"/>
      <c r="SHK155" s="14"/>
      <c r="SHL155" s="14"/>
      <c r="SHM155" s="14"/>
      <c r="SHN155" s="14"/>
      <c r="SHO155" s="14"/>
      <c r="SHP155" s="14"/>
      <c r="SHQ155" s="14"/>
      <c r="SHR155" s="14"/>
      <c r="SHS155" s="14"/>
      <c r="SHT155" s="14"/>
      <c r="SHU155" s="14"/>
      <c r="SHV155" s="14"/>
      <c r="SHW155" s="14"/>
      <c r="SHX155" s="14"/>
      <c r="SHY155" s="14"/>
      <c r="SHZ155" s="14"/>
      <c r="SIA155" s="14"/>
      <c r="SIB155" s="14"/>
      <c r="SIC155" s="14"/>
      <c r="SID155" s="14"/>
      <c r="SIE155" s="14"/>
      <c r="SIF155" s="14"/>
      <c r="SIG155" s="14"/>
      <c r="SIH155" s="14"/>
      <c r="SII155" s="14"/>
      <c r="SIJ155" s="14"/>
      <c r="SIK155" s="14"/>
      <c r="SIL155" s="14"/>
      <c r="SIM155" s="14"/>
      <c r="SIN155" s="14"/>
      <c r="SIO155" s="14"/>
      <c r="SIP155" s="14"/>
      <c r="SIQ155" s="14"/>
      <c r="SIR155" s="14"/>
      <c r="SIS155" s="14"/>
      <c r="SIT155" s="14"/>
      <c r="SIU155" s="14"/>
      <c r="SIV155" s="14"/>
      <c r="SIW155" s="14"/>
      <c r="SIX155" s="14"/>
      <c r="SIY155" s="14"/>
      <c r="SIZ155" s="14"/>
      <c r="SJA155" s="14"/>
      <c r="SJB155" s="14"/>
      <c r="SJC155" s="14"/>
      <c r="SJD155" s="14"/>
      <c r="SJE155" s="14"/>
      <c r="SJF155" s="14"/>
      <c r="SJG155" s="14"/>
      <c r="SJH155" s="14"/>
      <c r="SJI155" s="14"/>
      <c r="SJJ155" s="14"/>
      <c r="SJK155" s="14"/>
      <c r="SJL155" s="14"/>
      <c r="SJM155" s="14"/>
      <c r="SJN155" s="14"/>
      <c r="SJO155" s="14"/>
      <c r="SJP155" s="14"/>
      <c r="SJQ155" s="14"/>
      <c r="SJR155" s="14"/>
      <c r="SJS155" s="14"/>
      <c r="SJT155" s="14"/>
      <c r="SJU155" s="14"/>
      <c r="SJV155" s="14"/>
      <c r="SJW155" s="14"/>
      <c r="SJX155" s="14"/>
      <c r="SJY155" s="14"/>
      <c r="SJZ155" s="14"/>
      <c r="SKA155" s="14"/>
      <c r="SKB155" s="14"/>
      <c r="SKC155" s="14"/>
      <c r="SKD155" s="14"/>
      <c r="SKE155" s="14"/>
      <c r="SKF155" s="14"/>
      <c r="SKG155" s="14"/>
      <c r="SKH155" s="14"/>
      <c r="SKI155" s="14"/>
      <c r="SKJ155" s="14"/>
      <c r="SKK155" s="14"/>
      <c r="SKL155" s="14"/>
      <c r="SKM155" s="14"/>
      <c r="SKN155" s="14"/>
      <c r="SKO155" s="14"/>
      <c r="SKP155" s="14"/>
      <c r="SKQ155" s="14"/>
      <c r="SKR155" s="14"/>
      <c r="SKS155" s="14"/>
      <c r="SKT155" s="14"/>
      <c r="SKU155" s="14"/>
      <c r="SKV155" s="14"/>
      <c r="SKW155" s="14"/>
      <c r="SKX155" s="14"/>
      <c r="SKY155" s="14"/>
      <c r="SKZ155" s="14"/>
      <c r="SLA155" s="14"/>
      <c r="SLB155" s="14"/>
      <c r="SLC155" s="14"/>
      <c r="SLD155" s="14"/>
      <c r="SLE155" s="14"/>
      <c r="SLF155" s="14"/>
      <c r="SLG155" s="14"/>
      <c r="SLH155" s="14"/>
      <c r="SLI155" s="14"/>
      <c r="SLJ155" s="14"/>
      <c r="SLK155" s="14"/>
      <c r="SLL155" s="14"/>
      <c r="SLM155" s="14"/>
      <c r="SLN155" s="14"/>
      <c r="SLO155" s="14"/>
      <c r="SLP155" s="14"/>
      <c r="SLQ155" s="14"/>
      <c r="SLR155" s="14"/>
      <c r="SLS155" s="14"/>
      <c r="SLT155" s="14"/>
      <c r="SLU155" s="14"/>
      <c r="SLV155" s="14"/>
      <c r="SLW155" s="14"/>
      <c r="SLX155" s="14"/>
      <c r="SLY155" s="14"/>
      <c r="SLZ155" s="14"/>
      <c r="SMA155" s="14"/>
      <c r="SMB155" s="14"/>
      <c r="SMC155" s="14"/>
      <c r="SMD155" s="14"/>
      <c r="SME155" s="14"/>
      <c r="SMF155" s="14"/>
      <c r="SMG155" s="14"/>
      <c r="SMH155" s="14"/>
      <c r="SMI155" s="14"/>
      <c r="SMJ155" s="14"/>
      <c r="SMK155" s="14"/>
      <c r="SML155" s="14"/>
      <c r="SMM155" s="14"/>
      <c r="SMN155" s="14"/>
      <c r="SMO155" s="14"/>
      <c r="SMP155" s="14"/>
      <c r="SMQ155" s="14"/>
      <c r="SMR155" s="14"/>
      <c r="SMS155" s="14"/>
      <c r="SMT155" s="14"/>
      <c r="SMU155" s="14"/>
      <c r="SMV155" s="14"/>
      <c r="SMW155" s="14"/>
      <c r="SMX155" s="14"/>
      <c r="SMY155" s="14"/>
      <c r="SMZ155" s="14"/>
      <c r="SNA155" s="14"/>
      <c r="SNB155" s="14"/>
      <c r="SNC155" s="14"/>
      <c r="SND155" s="14"/>
      <c r="SNE155" s="14"/>
      <c r="SNF155" s="14"/>
      <c r="SNG155" s="14"/>
      <c r="SNH155" s="14"/>
      <c r="SNI155" s="14"/>
      <c r="SNJ155" s="14"/>
      <c r="SNK155" s="14"/>
      <c r="SNL155" s="14"/>
      <c r="SNM155" s="14"/>
      <c r="SNN155" s="14"/>
      <c r="SNO155" s="14"/>
      <c r="SNP155" s="14"/>
      <c r="SNQ155" s="14"/>
      <c r="SNR155" s="14"/>
      <c r="SNS155" s="14"/>
      <c r="SNT155" s="14"/>
      <c r="SNU155" s="14"/>
      <c r="SNV155" s="14"/>
      <c r="SNW155" s="14"/>
      <c r="SNX155" s="14"/>
      <c r="SNY155" s="14"/>
      <c r="SNZ155" s="14"/>
      <c r="SOA155" s="14"/>
      <c r="SOB155" s="14"/>
      <c r="SOC155" s="14"/>
      <c r="SOD155" s="14"/>
      <c r="SOE155" s="14"/>
      <c r="SOF155" s="14"/>
      <c r="SOG155" s="14"/>
      <c r="SOH155" s="14"/>
      <c r="SOI155" s="14"/>
      <c r="SOJ155" s="14"/>
      <c r="SOK155" s="14"/>
      <c r="SOL155" s="14"/>
      <c r="SOM155" s="14"/>
      <c r="SON155" s="14"/>
      <c r="SOO155" s="14"/>
      <c r="SOP155" s="14"/>
      <c r="SOQ155" s="14"/>
      <c r="SOR155" s="14"/>
      <c r="SOS155" s="14"/>
      <c r="SOT155" s="14"/>
      <c r="SOU155" s="14"/>
      <c r="SOV155" s="14"/>
      <c r="SOW155" s="14"/>
      <c r="SOX155" s="14"/>
      <c r="SOY155" s="14"/>
      <c r="SOZ155" s="14"/>
      <c r="SPA155" s="14"/>
      <c r="SPB155" s="14"/>
      <c r="SPC155" s="14"/>
      <c r="SPD155" s="14"/>
      <c r="SPE155" s="14"/>
      <c r="SPF155" s="14"/>
      <c r="SPG155" s="14"/>
      <c r="SPH155" s="14"/>
      <c r="SPI155" s="14"/>
      <c r="SPJ155" s="14"/>
      <c r="SPK155" s="14"/>
      <c r="SPL155" s="14"/>
      <c r="SPM155" s="14"/>
      <c r="SPN155" s="14"/>
      <c r="SPO155" s="14"/>
      <c r="SPP155" s="14"/>
      <c r="SPQ155" s="14"/>
      <c r="SPR155" s="14"/>
      <c r="SPS155" s="14"/>
      <c r="SPT155" s="14"/>
      <c r="SPU155" s="14"/>
      <c r="SPV155" s="14"/>
      <c r="SPW155" s="14"/>
      <c r="SPX155" s="14"/>
      <c r="SPY155" s="14"/>
      <c r="SPZ155" s="14"/>
      <c r="SQA155" s="14"/>
      <c r="SQB155" s="14"/>
      <c r="SQC155" s="14"/>
      <c r="SQD155" s="14"/>
      <c r="SQE155" s="14"/>
      <c r="SQF155" s="14"/>
      <c r="SQG155" s="14"/>
      <c r="SQH155" s="14"/>
      <c r="SQI155" s="14"/>
      <c r="SQJ155" s="14"/>
      <c r="SQK155" s="14"/>
      <c r="SQL155" s="14"/>
      <c r="SQM155" s="14"/>
      <c r="SQN155" s="14"/>
      <c r="SQO155" s="14"/>
      <c r="SQP155" s="14"/>
      <c r="SQQ155" s="14"/>
      <c r="SQR155" s="14"/>
      <c r="SQS155" s="14"/>
      <c r="SQT155" s="14"/>
      <c r="SQU155" s="14"/>
      <c r="SQV155" s="14"/>
      <c r="SQW155" s="14"/>
      <c r="SQX155" s="14"/>
      <c r="SQY155" s="14"/>
      <c r="SQZ155" s="14"/>
      <c r="SRA155" s="14"/>
      <c r="SRB155" s="14"/>
      <c r="SRC155" s="14"/>
      <c r="SRD155" s="14"/>
      <c r="SRE155" s="14"/>
      <c r="SRF155" s="14"/>
      <c r="SRG155" s="14"/>
      <c r="SRH155" s="14"/>
      <c r="SRI155" s="14"/>
      <c r="SRJ155" s="14"/>
      <c r="SRK155" s="14"/>
      <c r="SRL155" s="14"/>
      <c r="SRM155" s="14"/>
      <c r="SRN155" s="14"/>
      <c r="SRO155" s="14"/>
      <c r="SRP155" s="14"/>
      <c r="SRQ155" s="14"/>
      <c r="SRR155" s="14"/>
      <c r="SRS155" s="14"/>
      <c r="SRT155" s="14"/>
      <c r="SRU155" s="14"/>
      <c r="SRV155" s="14"/>
      <c r="SRW155" s="14"/>
      <c r="SRX155" s="14"/>
      <c r="SRY155" s="14"/>
      <c r="SRZ155" s="14"/>
      <c r="SSA155" s="14"/>
      <c r="SSB155" s="14"/>
      <c r="SSC155" s="14"/>
      <c r="SSD155" s="14"/>
      <c r="SSE155" s="14"/>
      <c r="SSF155" s="14"/>
      <c r="SSG155" s="14"/>
      <c r="SSH155" s="14"/>
      <c r="SSI155" s="14"/>
      <c r="SSJ155" s="14"/>
      <c r="SSK155" s="14"/>
      <c r="SSL155" s="14"/>
      <c r="SSM155" s="14"/>
      <c r="SSN155" s="14"/>
      <c r="SSO155" s="14"/>
      <c r="SSP155" s="14"/>
      <c r="SSQ155" s="14"/>
      <c r="SSR155" s="14"/>
      <c r="SSS155" s="14"/>
      <c r="SST155" s="14"/>
      <c r="SSU155" s="14"/>
      <c r="SSV155" s="14"/>
      <c r="SSW155" s="14"/>
      <c r="SSX155" s="14"/>
      <c r="SSY155" s="14"/>
      <c r="SSZ155" s="14"/>
      <c r="STA155" s="14"/>
      <c r="STB155" s="14"/>
      <c r="STC155" s="14"/>
      <c r="STD155" s="14"/>
      <c r="STE155" s="14"/>
      <c r="STF155" s="14"/>
      <c r="STG155" s="14"/>
      <c r="STH155" s="14"/>
      <c r="STI155" s="14"/>
      <c r="STJ155" s="14"/>
      <c r="STK155" s="14"/>
      <c r="STL155" s="14"/>
      <c r="STM155" s="14"/>
      <c r="STN155" s="14"/>
      <c r="STO155" s="14"/>
      <c r="STP155" s="14"/>
      <c r="STQ155" s="14"/>
      <c r="STR155" s="14"/>
      <c r="STS155" s="14"/>
      <c r="STT155" s="14"/>
      <c r="STU155" s="14"/>
      <c r="STV155" s="14"/>
      <c r="STW155" s="14"/>
      <c r="STX155" s="14"/>
      <c r="STY155" s="14"/>
      <c r="STZ155" s="14"/>
      <c r="SUA155" s="14"/>
      <c r="SUB155" s="14"/>
      <c r="SUC155" s="14"/>
      <c r="SUD155" s="14"/>
      <c r="SUE155" s="14"/>
      <c r="SUF155" s="14"/>
      <c r="SUG155" s="14"/>
      <c r="SUH155" s="14"/>
      <c r="SUI155" s="14"/>
      <c r="SUJ155" s="14"/>
      <c r="SUK155" s="14"/>
      <c r="SUL155" s="14"/>
      <c r="SUM155" s="14"/>
      <c r="SUN155" s="14"/>
      <c r="SUO155" s="14"/>
      <c r="SUP155" s="14"/>
      <c r="SUQ155" s="14"/>
      <c r="SUR155" s="14"/>
      <c r="SUS155" s="14"/>
      <c r="SUT155" s="14"/>
      <c r="SUU155" s="14"/>
      <c r="SUV155" s="14"/>
      <c r="SUW155" s="14"/>
      <c r="SUX155" s="14"/>
      <c r="SUY155" s="14"/>
      <c r="SUZ155" s="14"/>
      <c r="SVA155" s="14"/>
      <c r="SVB155" s="14"/>
      <c r="SVC155" s="14"/>
      <c r="SVD155" s="14"/>
      <c r="SVE155" s="14"/>
      <c r="SVF155" s="14"/>
      <c r="SVG155" s="14"/>
      <c r="SVH155" s="14"/>
      <c r="SVI155" s="14"/>
      <c r="SVJ155" s="14"/>
      <c r="SVK155" s="14"/>
      <c r="SVL155" s="14"/>
      <c r="SVM155" s="14"/>
      <c r="SVN155" s="14"/>
      <c r="SVO155" s="14"/>
      <c r="SVP155" s="14"/>
      <c r="SVQ155" s="14"/>
      <c r="SVR155" s="14"/>
      <c r="SVS155" s="14"/>
      <c r="SVT155" s="14"/>
      <c r="SVU155" s="14"/>
      <c r="SVV155" s="14"/>
      <c r="SVW155" s="14"/>
      <c r="SVX155" s="14"/>
      <c r="SVY155" s="14"/>
      <c r="SVZ155" s="14"/>
      <c r="SWA155" s="14"/>
      <c r="SWB155" s="14"/>
      <c r="SWC155" s="14"/>
      <c r="SWD155" s="14"/>
      <c r="SWE155" s="14"/>
      <c r="SWF155" s="14"/>
      <c r="SWG155" s="14"/>
      <c r="SWH155" s="14"/>
      <c r="SWI155" s="14"/>
      <c r="SWJ155" s="14"/>
      <c r="SWK155" s="14"/>
      <c r="SWL155" s="14"/>
      <c r="SWM155" s="14"/>
      <c r="SWN155" s="14"/>
      <c r="SWO155" s="14"/>
      <c r="SWP155" s="14"/>
      <c r="SWQ155" s="14"/>
      <c r="SWR155" s="14"/>
      <c r="SWS155" s="14"/>
      <c r="SWT155" s="14"/>
      <c r="SWU155" s="14"/>
      <c r="SWV155" s="14"/>
      <c r="SWW155" s="14"/>
      <c r="SWX155" s="14"/>
      <c r="SWY155" s="14"/>
      <c r="SWZ155" s="14"/>
      <c r="SXA155" s="14"/>
      <c r="SXB155" s="14"/>
      <c r="SXC155" s="14"/>
      <c r="SXD155" s="14"/>
      <c r="SXE155" s="14"/>
      <c r="SXF155" s="14"/>
      <c r="SXG155" s="14"/>
      <c r="SXH155" s="14"/>
      <c r="SXI155" s="14"/>
      <c r="SXJ155" s="14"/>
      <c r="SXK155" s="14"/>
      <c r="SXL155" s="14"/>
      <c r="SXM155" s="14"/>
      <c r="SXN155" s="14"/>
      <c r="SXO155" s="14"/>
      <c r="SXP155" s="14"/>
      <c r="SXQ155" s="14"/>
      <c r="SXR155" s="14"/>
      <c r="SXS155" s="14"/>
      <c r="SXT155" s="14"/>
      <c r="SXU155" s="14"/>
      <c r="SXV155" s="14"/>
      <c r="SXW155" s="14"/>
      <c r="SXX155" s="14"/>
      <c r="SXY155" s="14"/>
      <c r="SXZ155" s="14"/>
      <c r="SYA155" s="14"/>
      <c r="SYB155" s="14"/>
      <c r="SYC155" s="14"/>
      <c r="SYD155" s="14"/>
      <c r="SYE155" s="14"/>
      <c r="SYF155" s="14"/>
      <c r="SYG155" s="14"/>
      <c r="SYH155" s="14"/>
      <c r="SYI155" s="14"/>
      <c r="SYJ155" s="14"/>
      <c r="SYK155" s="14"/>
      <c r="SYL155" s="14"/>
      <c r="SYM155" s="14"/>
      <c r="SYN155" s="14"/>
      <c r="SYO155" s="14"/>
      <c r="SYP155" s="14"/>
      <c r="SYQ155" s="14"/>
      <c r="SYR155" s="14"/>
      <c r="SYS155" s="14"/>
      <c r="SYT155" s="14"/>
      <c r="SYU155" s="14"/>
      <c r="SYV155" s="14"/>
      <c r="SYW155" s="14"/>
      <c r="SYX155" s="14"/>
      <c r="SYY155" s="14"/>
      <c r="SYZ155" s="14"/>
      <c r="SZA155" s="14"/>
      <c r="SZB155" s="14"/>
      <c r="SZC155" s="14"/>
      <c r="SZD155" s="14"/>
      <c r="SZE155" s="14"/>
      <c r="SZF155" s="14"/>
      <c r="SZG155" s="14"/>
      <c r="SZH155" s="14"/>
      <c r="SZI155" s="14"/>
      <c r="SZJ155" s="14"/>
      <c r="SZK155" s="14"/>
      <c r="SZL155" s="14"/>
      <c r="SZM155" s="14"/>
      <c r="SZN155" s="14"/>
      <c r="SZO155" s="14"/>
      <c r="SZP155" s="14"/>
      <c r="SZQ155" s="14"/>
      <c r="SZR155" s="14"/>
      <c r="SZS155" s="14"/>
      <c r="SZT155" s="14"/>
      <c r="SZU155" s="14"/>
      <c r="SZV155" s="14"/>
      <c r="SZW155" s="14"/>
      <c r="SZX155" s="14"/>
      <c r="SZY155" s="14"/>
      <c r="SZZ155" s="14"/>
      <c r="TAA155" s="14"/>
      <c r="TAB155" s="14"/>
      <c r="TAC155" s="14"/>
      <c r="TAD155" s="14"/>
      <c r="TAE155" s="14"/>
      <c r="TAF155" s="14"/>
      <c r="TAG155" s="14"/>
      <c r="TAH155" s="14"/>
      <c r="TAI155" s="14"/>
      <c r="TAJ155" s="14"/>
      <c r="TAK155" s="14"/>
      <c r="TAL155" s="14"/>
      <c r="TAM155" s="14"/>
      <c r="TAN155" s="14"/>
      <c r="TAO155" s="14"/>
      <c r="TAP155" s="14"/>
      <c r="TAQ155" s="14"/>
      <c r="TAR155" s="14"/>
      <c r="TAS155" s="14"/>
      <c r="TAT155" s="14"/>
      <c r="TAU155" s="14"/>
      <c r="TAV155" s="14"/>
      <c r="TAW155" s="14"/>
      <c r="TAX155" s="14"/>
      <c r="TAY155" s="14"/>
      <c r="TAZ155" s="14"/>
      <c r="TBA155" s="14"/>
      <c r="TBB155" s="14"/>
      <c r="TBC155" s="14"/>
      <c r="TBD155" s="14"/>
      <c r="TBE155" s="14"/>
      <c r="TBF155" s="14"/>
      <c r="TBG155" s="14"/>
      <c r="TBH155" s="14"/>
      <c r="TBI155" s="14"/>
      <c r="TBJ155" s="14"/>
      <c r="TBK155" s="14"/>
      <c r="TBL155" s="14"/>
      <c r="TBM155" s="14"/>
      <c r="TBN155" s="14"/>
      <c r="TBO155" s="14"/>
      <c r="TBP155" s="14"/>
      <c r="TBQ155" s="14"/>
      <c r="TBR155" s="14"/>
      <c r="TBS155" s="14"/>
      <c r="TBT155" s="14"/>
      <c r="TBU155" s="14"/>
      <c r="TBV155" s="14"/>
      <c r="TBW155" s="14"/>
      <c r="TBX155" s="14"/>
      <c r="TBY155" s="14"/>
      <c r="TBZ155" s="14"/>
      <c r="TCA155" s="14"/>
      <c r="TCB155" s="14"/>
      <c r="TCC155" s="14"/>
      <c r="TCD155" s="14"/>
      <c r="TCE155" s="14"/>
      <c r="TCF155" s="14"/>
      <c r="TCG155" s="14"/>
      <c r="TCH155" s="14"/>
      <c r="TCI155" s="14"/>
      <c r="TCJ155" s="14"/>
      <c r="TCK155" s="14"/>
      <c r="TCL155" s="14"/>
      <c r="TCM155" s="14"/>
      <c r="TCN155" s="14"/>
      <c r="TCO155" s="14"/>
      <c r="TCP155" s="14"/>
      <c r="TCQ155" s="14"/>
      <c r="TCR155" s="14"/>
      <c r="TCS155" s="14"/>
      <c r="TCT155" s="14"/>
      <c r="TCU155" s="14"/>
      <c r="TCV155" s="14"/>
      <c r="TCW155" s="14"/>
      <c r="TCX155" s="14"/>
      <c r="TCY155" s="14"/>
      <c r="TCZ155" s="14"/>
      <c r="TDA155" s="14"/>
      <c r="TDB155" s="14"/>
      <c r="TDC155" s="14"/>
      <c r="TDD155" s="14"/>
      <c r="TDE155" s="14"/>
      <c r="TDF155" s="14"/>
      <c r="TDG155" s="14"/>
      <c r="TDH155" s="14"/>
      <c r="TDI155" s="14"/>
      <c r="TDJ155" s="14"/>
      <c r="TDK155" s="14"/>
      <c r="TDL155" s="14"/>
      <c r="TDM155" s="14"/>
      <c r="TDN155" s="14"/>
      <c r="TDO155" s="14"/>
      <c r="TDP155" s="14"/>
      <c r="TDQ155" s="14"/>
      <c r="TDR155" s="14"/>
      <c r="TDS155" s="14"/>
      <c r="TDT155" s="14"/>
      <c r="TDU155" s="14"/>
      <c r="TDV155" s="14"/>
      <c r="TDW155" s="14"/>
      <c r="TDX155" s="14"/>
      <c r="TDY155" s="14"/>
      <c r="TDZ155" s="14"/>
      <c r="TEA155" s="14"/>
      <c r="TEB155" s="14"/>
      <c r="TEC155" s="14"/>
      <c r="TED155" s="14"/>
      <c r="TEE155" s="14"/>
      <c r="TEF155" s="14"/>
      <c r="TEG155" s="14"/>
      <c r="TEH155" s="14"/>
      <c r="TEI155" s="14"/>
      <c r="TEJ155" s="14"/>
      <c r="TEK155" s="14"/>
      <c r="TEL155" s="14"/>
      <c r="TEM155" s="14"/>
      <c r="TEN155" s="14"/>
      <c r="TEO155" s="14"/>
      <c r="TEP155" s="14"/>
      <c r="TEQ155" s="14"/>
      <c r="TER155" s="14"/>
      <c r="TES155" s="14"/>
      <c r="TET155" s="14"/>
      <c r="TEU155" s="14"/>
      <c r="TEV155" s="14"/>
      <c r="TEW155" s="14"/>
      <c r="TEX155" s="14"/>
      <c r="TEY155" s="14"/>
      <c r="TEZ155" s="14"/>
      <c r="TFA155" s="14"/>
      <c r="TFB155" s="14"/>
      <c r="TFC155" s="14"/>
      <c r="TFD155" s="14"/>
      <c r="TFE155" s="14"/>
      <c r="TFF155" s="14"/>
      <c r="TFG155" s="14"/>
      <c r="TFH155" s="14"/>
      <c r="TFI155" s="14"/>
      <c r="TFJ155" s="14"/>
      <c r="TFK155" s="14"/>
      <c r="TFL155" s="14"/>
      <c r="TFM155" s="14"/>
      <c r="TFN155" s="14"/>
      <c r="TFO155" s="14"/>
      <c r="TFP155" s="14"/>
      <c r="TFQ155" s="14"/>
      <c r="TFR155" s="14"/>
      <c r="TFS155" s="14"/>
      <c r="TFT155" s="14"/>
      <c r="TFU155" s="14"/>
      <c r="TFV155" s="14"/>
      <c r="TFW155" s="14"/>
      <c r="TFX155" s="14"/>
      <c r="TFY155" s="14"/>
      <c r="TFZ155" s="14"/>
      <c r="TGA155" s="14"/>
      <c r="TGB155" s="14"/>
      <c r="TGC155" s="14"/>
      <c r="TGD155" s="14"/>
      <c r="TGE155" s="14"/>
      <c r="TGF155" s="14"/>
      <c r="TGG155" s="14"/>
      <c r="TGH155" s="14"/>
      <c r="TGI155" s="14"/>
      <c r="TGJ155" s="14"/>
      <c r="TGK155" s="14"/>
      <c r="TGL155" s="14"/>
      <c r="TGM155" s="14"/>
      <c r="TGN155" s="14"/>
      <c r="TGO155" s="14"/>
      <c r="TGP155" s="14"/>
      <c r="TGQ155" s="14"/>
      <c r="TGR155" s="14"/>
      <c r="TGS155" s="14"/>
      <c r="TGT155" s="14"/>
      <c r="TGU155" s="14"/>
      <c r="TGV155" s="14"/>
      <c r="TGW155" s="14"/>
      <c r="TGX155" s="14"/>
      <c r="TGY155" s="14"/>
      <c r="TGZ155" s="14"/>
      <c r="THA155" s="14"/>
      <c r="THB155" s="14"/>
      <c r="THC155" s="14"/>
      <c r="THD155" s="14"/>
      <c r="THE155" s="14"/>
      <c r="THF155" s="14"/>
      <c r="THG155" s="14"/>
      <c r="THH155" s="14"/>
      <c r="THI155" s="14"/>
      <c r="THJ155" s="14"/>
      <c r="THK155" s="14"/>
      <c r="THL155" s="14"/>
      <c r="THM155" s="14"/>
      <c r="THN155" s="14"/>
      <c r="THO155" s="14"/>
      <c r="THP155" s="14"/>
      <c r="THQ155" s="14"/>
      <c r="THR155" s="14"/>
      <c r="THS155" s="14"/>
      <c r="THT155" s="14"/>
      <c r="THU155" s="14"/>
      <c r="THV155" s="14"/>
      <c r="THW155" s="14"/>
      <c r="THX155" s="14"/>
      <c r="THY155" s="14"/>
      <c r="THZ155" s="14"/>
      <c r="TIA155" s="14"/>
      <c r="TIB155" s="14"/>
      <c r="TIC155" s="14"/>
      <c r="TID155" s="14"/>
      <c r="TIE155" s="14"/>
      <c r="TIF155" s="14"/>
      <c r="TIG155" s="14"/>
      <c r="TIH155" s="14"/>
      <c r="TII155" s="14"/>
      <c r="TIJ155" s="14"/>
      <c r="TIK155" s="14"/>
      <c r="TIL155" s="14"/>
      <c r="TIM155" s="14"/>
      <c r="TIN155" s="14"/>
      <c r="TIO155" s="14"/>
      <c r="TIP155" s="14"/>
      <c r="TIQ155" s="14"/>
      <c r="TIR155" s="14"/>
      <c r="TIS155" s="14"/>
      <c r="TIT155" s="14"/>
      <c r="TIU155" s="14"/>
      <c r="TIV155" s="14"/>
      <c r="TIW155" s="14"/>
      <c r="TIX155" s="14"/>
      <c r="TIY155" s="14"/>
      <c r="TIZ155" s="14"/>
      <c r="TJA155" s="14"/>
      <c r="TJB155" s="14"/>
      <c r="TJC155" s="14"/>
      <c r="TJD155" s="14"/>
      <c r="TJE155" s="14"/>
      <c r="TJF155" s="14"/>
      <c r="TJG155" s="14"/>
      <c r="TJH155" s="14"/>
      <c r="TJI155" s="14"/>
      <c r="TJJ155" s="14"/>
      <c r="TJK155" s="14"/>
      <c r="TJL155" s="14"/>
      <c r="TJM155" s="14"/>
      <c r="TJN155" s="14"/>
      <c r="TJO155" s="14"/>
      <c r="TJP155" s="14"/>
      <c r="TJQ155" s="14"/>
      <c r="TJR155" s="14"/>
      <c r="TJS155" s="14"/>
      <c r="TJT155" s="14"/>
      <c r="TJU155" s="14"/>
      <c r="TJV155" s="14"/>
      <c r="TJW155" s="14"/>
      <c r="TJX155" s="14"/>
      <c r="TJY155" s="14"/>
      <c r="TJZ155" s="14"/>
      <c r="TKA155" s="14"/>
      <c r="TKB155" s="14"/>
      <c r="TKC155" s="14"/>
      <c r="TKD155" s="14"/>
      <c r="TKE155" s="14"/>
      <c r="TKF155" s="14"/>
      <c r="TKG155" s="14"/>
      <c r="TKH155" s="14"/>
      <c r="TKI155" s="14"/>
      <c r="TKJ155" s="14"/>
      <c r="TKK155" s="14"/>
      <c r="TKL155" s="14"/>
      <c r="TKM155" s="14"/>
      <c r="TKN155" s="14"/>
      <c r="TKO155" s="14"/>
      <c r="TKP155" s="14"/>
      <c r="TKQ155" s="14"/>
      <c r="TKR155" s="14"/>
      <c r="TKS155" s="14"/>
      <c r="TKT155" s="14"/>
      <c r="TKU155" s="14"/>
      <c r="TKV155" s="14"/>
      <c r="TKW155" s="14"/>
      <c r="TKX155" s="14"/>
      <c r="TKY155" s="14"/>
      <c r="TKZ155" s="14"/>
      <c r="TLA155" s="14"/>
      <c r="TLB155" s="14"/>
      <c r="TLC155" s="14"/>
      <c r="TLD155" s="14"/>
      <c r="TLE155" s="14"/>
      <c r="TLF155" s="14"/>
      <c r="TLG155" s="14"/>
      <c r="TLH155" s="14"/>
      <c r="TLI155" s="14"/>
      <c r="TLJ155" s="14"/>
      <c r="TLK155" s="14"/>
      <c r="TLL155" s="14"/>
      <c r="TLM155" s="14"/>
      <c r="TLN155" s="14"/>
      <c r="TLO155" s="14"/>
      <c r="TLP155" s="14"/>
      <c r="TLQ155" s="14"/>
      <c r="TLR155" s="14"/>
      <c r="TLS155" s="14"/>
      <c r="TLT155" s="14"/>
      <c r="TLU155" s="14"/>
      <c r="TLV155" s="14"/>
      <c r="TLW155" s="14"/>
      <c r="TLX155" s="14"/>
      <c r="TLY155" s="14"/>
      <c r="TLZ155" s="14"/>
      <c r="TMA155" s="14"/>
      <c r="TMB155" s="14"/>
      <c r="TMC155" s="14"/>
      <c r="TMD155" s="14"/>
      <c r="TME155" s="14"/>
      <c r="TMF155" s="14"/>
      <c r="TMG155" s="14"/>
      <c r="TMH155" s="14"/>
      <c r="TMI155" s="14"/>
      <c r="TMJ155" s="14"/>
      <c r="TMK155" s="14"/>
      <c r="TML155" s="14"/>
      <c r="TMM155" s="14"/>
      <c r="TMN155" s="14"/>
      <c r="TMO155" s="14"/>
      <c r="TMP155" s="14"/>
      <c r="TMQ155" s="14"/>
      <c r="TMR155" s="14"/>
      <c r="TMS155" s="14"/>
      <c r="TMT155" s="14"/>
      <c r="TMU155" s="14"/>
      <c r="TMV155" s="14"/>
      <c r="TMW155" s="14"/>
      <c r="TMX155" s="14"/>
      <c r="TMY155" s="14"/>
      <c r="TMZ155" s="14"/>
      <c r="TNA155" s="14"/>
      <c r="TNB155" s="14"/>
      <c r="TNC155" s="14"/>
      <c r="TND155" s="14"/>
      <c r="TNE155" s="14"/>
      <c r="TNF155" s="14"/>
      <c r="TNG155" s="14"/>
      <c r="TNH155" s="14"/>
      <c r="TNI155" s="14"/>
      <c r="TNJ155" s="14"/>
      <c r="TNK155" s="14"/>
      <c r="TNL155" s="14"/>
      <c r="TNM155" s="14"/>
      <c r="TNN155" s="14"/>
      <c r="TNO155" s="14"/>
      <c r="TNP155" s="14"/>
      <c r="TNQ155" s="14"/>
      <c r="TNR155" s="14"/>
      <c r="TNS155" s="14"/>
      <c r="TNT155" s="14"/>
      <c r="TNU155" s="14"/>
      <c r="TNV155" s="14"/>
      <c r="TNW155" s="14"/>
      <c r="TNX155" s="14"/>
      <c r="TNY155" s="14"/>
      <c r="TNZ155" s="14"/>
      <c r="TOA155" s="14"/>
      <c r="TOB155" s="14"/>
      <c r="TOC155" s="14"/>
      <c r="TOD155" s="14"/>
      <c r="TOE155" s="14"/>
      <c r="TOF155" s="14"/>
      <c r="TOG155" s="14"/>
      <c r="TOH155" s="14"/>
      <c r="TOI155" s="14"/>
      <c r="TOJ155" s="14"/>
      <c r="TOK155" s="14"/>
      <c r="TOL155" s="14"/>
      <c r="TOM155" s="14"/>
      <c r="TON155" s="14"/>
      <c r="TOO155" s="14"/>
      <c r="TOP155" s="14"/>
      <c r="TOQ155" s="14"/>
      <c r="TOR155" s="14"/>
      <c r="TOS155" s="14"/>
      <c r="TOT155" s="14"/>
      <c r="TOU155" s="14"/>
      <c r="TOV155" s="14"/>
      <c r="TOW155" s="14"/>
      <c r="TOX155" s="14"/>
      <c r="TOY155" s="14"/>
      <c r="TOZ155" s="14"/>
      <c r="TPA155" s="14"/>
      <c r="TPB155" s="14"/>
      <c r="TPC155" s="14"/>
      <c r="TPD155" s="14"/>
      <c r="TPE155" s="14"/>
      <c r="TPF155" s="14"/>
      <c r="TPG155" s="14"/>
      <c r="TPH155" s="14"/>
      <c r="TPI155" s="14"/>
      <c r="TPJ155" s="14"/>
      <c r="TPK155" s="14"/>
      <c r="TPL155" s="14"/>
      <c r="TPM155" s="14"/>
      <c r="TPN155" s="14"/>
      <c r="TPO155" s="14"/>
      <c r="TPP155" s="14"/>
      <c r="TPQ155" s="14"/>
      <c r="TPR155" s="14"/>
      <c r="TPS155" s="14"/>
      <c r="TPT155" s="14"/>
      <c r="TPU155" s="14"/>
      <c r="TPV155" s="14"/>
      <c r="TPW155" s="14"/>
      <c r="TPX155" s="14"/>
      <c r="TPY155" s="14"/>
      <c r="TPZ155" s="14"/>
      <c r="TQA155" s="14"/>
      <c r="TQB155" s="14"/>
      <c r="TQC155" s="14"/>
      <c r="TQD155" s="14"/>
      <c r="TQE155" s="14"/>
      <c r="TQF155" s="14"/>
      <c r="TQG155" s="14"/>
      <c r="TQH155" s="14"/>
      <c r="TQI155" s="14"/>
      <c r="TQJ155" s="14"/>
      <c r="TQK155" s="14"/>
      <c r="TQL155" s="14"/>
      <c r="TQM155" s="14"/>
      <c r="TQN155" s="14"/>
      <c r="TQO155" s="14"/>
      <c r="TQP155" s="14"/>
      <c r="TQQ155" s="14"/>
      <c r="TQR155" s="14"/>
      <c r="TQS155" s="14"/>
      <c r="TQT155" s="14"/>
      <c r="TQU155" s="14"/>
      <c r="TQV155" s="14"/>
      <c r="TQW155" s="14"/>
      <c r="TQX155" s="14"/>
      <c r="TQY155" s="14"/>
      <c r="TQZ155" s="14"/>
      <c r="TRA155" s="14"/>
      <c r="TRB155" s="14"/>
      <c r="TRC155" s="14"/>
      <c r="TRD155" s="14"/>
      <c r="TRE155" s="14"/>
      <c r="TRF155" s="14"/>
      <c r="TRG155" s="14"/>
      <c r="TRH155" s="14"/>
      <c r="TRI155" s="14"/>
      <c r="TRJ155" s="14"/>
      <c r="TRK155" s="14"/>
      <c r="TRL155" s="14"/>
      <c r="TRM155" s="14"/>
      <c r="TRN155" s="14"/>
      <c r="TRO155" s="14"/>
      <c r="TRP155" s="14"/>
      <c r="TRQ155" s="14"/>
      <c r="TRR155" s="14"/>
      <c r="TRS155" s="14"/>
      <c r="TRT155" s="14"/>
      <c r="TRU155" s="14"/>
      <c r="TRV155" s="14"/>
      <c r="TRW155" s="14"/>
      <c r="TRX155" s="14"/>
      <c r="TRY155" s="14"/>
      <c r="TRZ155" s="14"/>
      <c r="TSA155" s="14"/>
      <c r="TSB155" s="14"/>
      <c r="TSC155" s="14"/>
      <c r="TSD155" s="14"/>
      <c r="TSE155" s="14"/>
      <c r="TSF155" s="14"/>
      <c r="TSG155" s="14"/>
      <c r="TSH155" s="14"/>
      <c r="TSI155" s="14"/>
      <c r="TSJ155" s="14"/>
      <c r="TSK155" s="14"/>
      <c r="TSL155" s="14"/>
      <c r="TSM155" s="14"/>
      <c r="TSN155" s="14"/>
      <c r="TSO155" s="14"/>
      <c r="TSP155" s="14"/>
      <c r="TSQ155" s="14"/>
      <c r="TSR155" s="14"/>
      <c r="TSS155" s="14"/>
      <c r="TST155" s="14"/>
      <c r="TSU155" s="14"/>
      <c r="TSV155" s="14"/>
      <c r="TSW155" s="14"/>
      <c r="TSX155" s="14"/>
      <c r="TSY155" s="14"/>
      <c r="TSZ155" s="14"/>
      <c r="TTA155" s="14"/>
      <c r="TTB155" s="14"/>
      <c r="TTC155" s="14"/>
      <c r="TTD155" s="14"/>
      <c r="TTE155" s="14"/>
      <c r="TTF155" s="14"/>
      <c r="TTG155" s="14"/>
      <c r="TTH155" s="14"/>
      <c r="TTI155" s="14"/>
      <c r="TTJ155" s="14"/>
      <c r="TTK155" s="14"/>
      <c r="TTL155" s="14"/>
      <c r="TTM155" s="14"/>
      <c r="TTN155" s="14"/>
      <c r="TTO155" s="14"/>
      <c r="TTP155" s="14"/>
      <c r="TTQ155" s="14"/>
      <c r="TTR155" s="14"/>
      <c r="TTS155" s="14"/>
      <c r="TTT155" s="14"/>
      <c r="TTU155" s="14"/>
      <c r="TTV155" s="14"/>
      <c r="TTW155" s="14"/>
      <c r="TTX155" s="14"/>
      <c r="TTY155" s="14"/>
      <c r="TTZ155" s="14"/>
      <c r="TUA155" s="14"/>
      <c r="TUB155" s="14"/>
      <c r="TUC155" s="14"/>
      <c r="TUD155" s="14"/>
      <c r="TUE155" s="14"/>
      <c r="TUF155" s="14"/>
      <c r="TUG155" s="14"/>
      <c r="TUH155" s="14"/>
      <c r="TUI155" s="14"/>
      <c r="TUJ155" s="14"/>
      <c r="TUK155" s="14"/>
      <c r="TUL155" s="14"/>
      <c r="TUM155" s="14"/>
      <c r="TUN155" s="14"/>
      <c r="TUO155" s="14"/>
      <c r="TUP155" s="14"/>
      <c r="TUQ155" s="14"/>
      <c r="TUR155" s="14"/>
      <c r="TUS155" s="14"/>
      <c r="TUT155" s="14"/>
      <c r="TUU155" s="14"/>
      <c r="TUV155" s="14"/>
      <c r="TUW155" s="14"/>
      <c r="TUX155" s="14"/>
      <c r="TUY155" s="14"/>
      <c r="TUZ155" s="14"/>
      <c r="TVA155" s="14"/>
      <c r="TVB155" s="14"/>
      <c r="TVC155" s="14"/>
      <c r="TVD155" s="14"/>
      <c r="TVE155" s="14"/>
      <c r="TVF155" s="14"/>
      <c r="TVG155" s="14"/>
      <c r="TVH155" s="14"/>
      <c r="TVI155" s="14"/>
      <c r="TVJ155" s="14"/>
      <c r="TVK155" s="14"/>
      <c r="TVL155" s="14"/>
      <c r="TVM155" s="14"/>
      <c r="TVN155" s="14"/>
      <c r="TVO155" s="14"/>
      <c r="TVP155" s="14"/>
      <c r="TVQ155" s="14"/>
      <c r="TVR155" s="14"/>
      <c r="TVS155" s="14"/>
      <c r="TVT155" s="14"/>
      <c r="TVU155" s="14"/>
      <c r="TVV155" s="14"/>
      <c r="TVW155" s="14"/>
      <c r="TVX155" s="14"/>
      <c r="TVY155" s="14"/>
      <c r="TVZ155" s="14"/>
      <c r="TWA155" s="14"/>
      <c r="TWB155" s="14"/>
      <c r="TWC155" s="14"/>
      <c r="TWD155" s="14"/>
      <c r="TWE155" s="14"/>
      <c r="TWF155" s="14"/>
      <c r="TWG155" s="14"/>
      <c r="TWH155" s="14"/>
      <c r="TWI155" s="14"/>
      <c r="TWJ155" s="14"/>
      <c r="TWK155" s="14"/>
      <c r="TWL155" s="14"/>
      <c r="TWM155" s="14"/>
      <c r="TWN155" s="14"/>
      <c r="TWO155" s="14"/>
      <c r="TWP155" s="14"/>
      <c r="TWQ155" s="14"/>
      <c r="TWR155" s="14"/>
      <c r="TWS155" s="14"/>
      <c r="TWT155" s="14"/>
      <c r="TWU155" s="14"/>
      <c r="TWV155" s="14"/>
      <c r="TWW155" s="14"/>
      <c r="TWX155" s="14"/>
      <c r="TWY155" s="14"/>
      <c r="TWZ155" s="14"/>
      <c r="TXA155" s="14"/>
      <c r="TXB155" s="14"/>
      <c r="TXC155" s="14"/>
      <c r="TXD155" s="14"/>
      <c r="TXE155" s="14"/>
      <c r="TXF155" s="14"/>
      <c r="TXG155" s="14"/>
      <c r="TXH155" s="14"/>
      <c r="TXI155" s="14"/>
      <c r="TXJ155" s="14"/>
      <c r="TXK155" s="14"/>
      <c r="TXL155" s="14"/>
      <c r="TXM155" s="14"/>
      <c r="TXN155" s="14"/>
      <c r="TXO155" s="14"/>
      <c r="TXP155" s="14"/>
      <c r="TXQ155" s="14"/>
      <c r="TXR155" s="14"/>
      <c r="TXS155" s="14"/>
      <c r="TXT155" s="14"/>
      <c r="TXU155" s="14"/>
      <c r="TXV155" s="14"/>
      <c r="TXW155" s="14"/>
      <c r="TXX155" s="14"/>
      <c r="TXY155" s="14"/>
      <c r="TXZ155" s="14"/>
      <c r="TYA155" s="14"/>
      <c r="TYB155" s="14"/>
      <c r="TYC155" s="14"/>
      <c r="TYD155" s="14"/>
      <c r="TYE155" s="14"/>
      <c r="TYF155" s="14"/>
      <c r="TYG155" s="14"/>
      <c r="TYH155" s="14"/>
      <c r="TYI155" s="14"/>
      <c r="TYJ155" s="14"/>
      <c r="TYK155" s="14"/>
      <c r="TYL155" s="14"/>
      <c r="TYM155" s="14"/>
      <c r="TYN155" s="14"/>
      <c r="TYO155" s="14"/>
      <c r="TYP155" s="14"/>
      <c r="TYQ155" s="14"/>
      <c r="TYR155" s="14"/>
      <c r="TYS155" s="14"/>
      <c r="TYT155" s="14"/>
      <c r="TYU155" s="14"/>
      <c r="TYV155" s="14"/>
      <c r="TYW155" s="14"/>
      <c r="TYX155" s="14"/>
      <c r="TYY155" s="14"/>
      <c r="TYZ155" s="14"/>
      <c r="TZA155" s="14"/>
      <c r="TZB155" s="14"/>
      <c r="TZC155" s="14"/>
      <c r="TZD155" s="14"/>
      <c r="TZE155" s="14"/>
      <c r="TZF155" s="14"/>
      <c r="TZG155" s="14"/>
      <c r="TZH155" s="14"/>
      <c r="TZI155" s="14"/>
      <c r="TZJ155" s="14"/>
      <c r="TZK155" s="14"/>
      <c r="TZL155" s="14"/>
      <c r="TZM155" s="14"/>
      <c r="TZN155" s="14"/>
      <c r="TZO155" s="14"/>
      <c r="TZP155" s="14"/>
      <c r="TZQ155" s="14"/>
      <c r="TZR155" s="14"/>
      <c r="TZS155" s="14"/>
      <c r="TZT155" s="14"/>
      <c r="TZU155" s="14"/>
      <c r="TZV155" s="14"/>
      <c r="TZW155" s="14"/>
      <c r="TZX155" s="14"/>
      <c r="TZY155" s="14"/>
      <c r="TZZ155" s="14"/>
      <c r="UAA155" s="14"/>
      <c r="UAB155" s="14"/>
      <c r="UAC155" s="14"/>
      <c r="UAD155" s="14"/>
      <c r="UAE155" s="14"/>
      <c r="UAF155" s="14"/>
      <c r="UAG155" s="14"/>
      <c r="UAH155" s="14"/>
      <c r="UAI155" s="14"/>
      <c r="UAJ155" s="14"/>
      <c r="UAK155" s="14"/>
      <c r="UAL155" s="14"/>
      <c r="UAM155" s="14"/>
      <c r="UAN155" s="14"/>
      <c r="UAO155" s="14"/>
      <c r="UAP155" s="14"/>
      <c r="UAQ155" s="14"/>
      <c r="UAR155" s="14"/>
      <c r="UAS155" s="14"/>
      <c r="UAT155" s="14"/>
      <c r="UAU155" s="14"/>
      <c r="UAV155" s="14"/>
      <c r="UAW155" s="14"/>
      <c r="UAX155" s="14"/>
      <c r="UAY155" s="14"/>
      <c r="UAZ155" s="14"/>
      <c r="UBA155" s="14"/>
      <c r="UBB155" s="14"/>
      <c r="UBC155" s="14"/>
      <c r="UBD155" s="14"/>
      <c r="UBE155" s="14"/>
      <c r="UBF155" s="14"/>
      <c r="UBG155" s="14"/>
      <c r="UBH155" s="14"/>
      <c r="UBI155" s="14"/>
      <c r="UBJ155" s="14"/>
      <c r="UBK155" s="14"/>
      <c r="UBL155" s="14"/>
      <c r="UBM155" s="14"/>
      <c r="UBN155" s="14"/>
      <c r="UBO155" s="14"/>
      <c r="UBP155" s="14"/>
      <c r="UBQ155" s="14"/>
      <c r="UBR155" s="14"/>
      <c r="UBS155" s="14"/>
      <c r="UBT155" s="14"/>
      <c r="UBU155" s="14"/>
      <c r="UBV155" s="14"/>
      <c r="UBW155" s="14"/>
      <c r="UBX155" s="14"/>
      <c r="UBY155" s="14"/>
      <c r="UBZ155" s="14"/>
      <c r="UCA155" s="14"/>
      <c r="UCB155" s="14"/>
      <c r="UCC155" s="14"/>
      <c r="UCD155" s="14"/>
      <c r="UCE155" s="14"/>
      <c r="UCF155" s="14"/>
      <c r="UCG155" s="14"/>
      <c r="UCH155" s="14"/>
      <c r="UCI155" s="14"/>
      <c r="UCJ155" s="14"/>
      <c r="UCK155" s="14"/>
      <c r="UCL155" s="14"/>
      <c r="UCM155" s="14"/>
      <c r="UCN155" s="14"/>
      <c r="UCO155" s="14"/>
      <c r="UCP155" s="14"/>
      <c r="UCQ155" s="14"/>
      <c r="UCR155" s="14"/>
      <c r="UCS155" s="14"/>
      <c r="UCT155" s="14"/>
      <c r="UCU155" s="14"/>
      <c r="UCV155" s="14"/>
      <c r="UCW155" s="14"/>
      <c r="UCX155" s="14"/>
      <c r="UCY155" s="14"/>
      <c r="UCZ155" s="14"/>
      <c r="UDA155" s="14"/>
      <c r="UDB155" s="14"/>
      <c r="UDC155" s="14"/>
      <c r="UDD155" s="14"/>
      <c r="UDE155" s="14"/>
      <c r="UDF155" s="14"/>
      <c r="UDG155" s="14"/>
      <c r="UDH155" s="14"/>
      <c r="UDI155" s="14"/>
      <c r="UDJ155" s="14"/>
      <c r="UDK155" s="14"/>
      <c r="UDL155" s="14"/>
      <c r="UDM155" s="14"/>
      <c r="UDN155" s="14"/>
      <c r="UDO155" s="14"/>
      <c r="UDP155" s="14"/>
      <c r="UDQ155" s="14"/>
      <c r="UDR155" s="14"/>
      <c r="UDS155" s="14"/>
      <c r="UDT155" s="14"/>
      <c r="UDU155" s="14"/>
      <c r="UDV155" s="14"/>
      <c r="UDW155" s="14"/>
      <c r="UDX155" s="14"/>
      <c r="UDY155" s="14"/>
      <c r="UDZ155" s="14"/>
      <c r="UEA155" s="14"/>
      <c r="UEB155" s="14"/>
      <c r="UEC155" s="14"/>
      <c r="UED155" s="14"/>
      <c r="UEE155" s="14"/>
      <c r="UEF155" s="14"/>
      <c r="UEG155" s="14"/>
      <c r="UEH155" s="14"/>
      <c r="UEI155" s="14"/>
      <c r="UEJ155" s="14"/>
      <c r="UEK155" s="14"/>
      <c r="UEL155" s="14"/>
      <c r="UEM155" s="14"/>
      <c r="UEN155" s="14"/>
      <c r="UEO155" s="14"/>
      <c r="UEP155" s="14"/>
      <c r="UEQ155" s="14"/>
      <c r="UER155" s="14"/>
      <c r="UES155" s="14"/>
      <c r="UET155" s="14"/>
      <c r="UEU155" s="14"/>
      <c r="UEV155" s="14"/>
      <c r="UEW155" s="14"/>
      <c r="UEX155" s="14"/>
      <c r="UEY155" s="14"/>
      <c r="UEZ155" s="14"/>
      <c r="UFA155" s="14"/>
      <c r="UFB155" s="14"/>
      <c r="UFC155" s="14"/>
      <c r="UFD155" s="14"/>
      <c r="UFE155" s="14"/>
      <c r="UFF155" s="14"/>
      <c r="UFG155" s="14"/>
      <c r="UFH155" s="14"/>
      <c r="UFI155" s="14"/>
      <c r="UFJ155" s="14"/>
      <c r="UFK155" s="14"/>
      <c r="UFL155" s="14"/>
      <c r="UFM155" s="14"/>
      <c r="UFN155" s="14"/>
      <c r="UFO155" s="14"/>
      <c r="UFP155" s="14"/>
      <c r="UFQ155" s="14"/>
      <c r="UFR155" s="14"/>
      <c r="UFS155" s="14"/>
      <c r="UFT155" s="14"/>
      <c r="UFU155" s="14"/>
      <c r="UFV155" s="14"/>
      <c r="UFW155" s="14"/>
      <c r="UFX155" s="14"/>
      <c r="UFY155" s="14"/>
      <c r="UFZ155" s="14"/>
      <c r="UGA155" s="14"/>
      <c r="UGB155" s="14"/>
      <c r="UGC155" s="14"/>
      <c r="UGD155" s="14"/>
      <c r="UGE155" s="14"/>
      <c r="UGF155" s="14"/>
      <c r="UGG155" s="14"/>
      <c r="UGH155" s="14"/>
      <c r="UGI155" s="14"/>
      <c r="UGJ155" s="14"/>
      <c r="UGK155" s="14"/>
      <c r="UGL155" s="14"/>
      <c r="UGM155" s="14"/>
      <c r="UGN155" s="14"/>
      <c r="UGO155" s="14"/>
      <c r="UGP155" s="14"/>
      <c r="UGQ155" s="14"/>
      <c r="UGR155" s="14"/>
      <c r="UGS155" s="14"/>
      <c r="UGT155" s="14"/>
      <c r="UGU155" s="14"/>
      <c r="UGV155" s="14"/>
      <c r="UGW155" s="14"/>
      <c r="UGX155" s="14"/>
      <c r="UGY155" s="14"/>
      <c r="UGZ155" s="14"/>
      <c r="UHA155" s="14"/>
      <c r="UHB155" s="14"/>
      <c r="UHC155" s="14"/>
      <c r="UHD155" s="14"/>
      <c r="UHE155" s="14"/>
      <c r="UHF155" s="14"/>
      <c r="UHG155" s="14"/>
      <c r="UHH155" s="14"/>
      <c r="UHI155" s="14"/>
      <c r="UHJ155" s="14"/>
      <c r="UHK155" s="14"/>
      <c r="UHL155" s="14"/>
      <c r="UHM155" s="14"/>
      <c r="UHN155" s="14"/>
      <c r="UHO155" s="14"/>
      <c r="UHP155" s="14"/>
      <c r="UHQ155" s="14"/>
      <c r="UHR155" s="14"/>
      <c r="UHS155" s="14"/>
      <c r="UHT155" s="14"/>
      <c r="UHU155" s="14"/>
      <c r="UHV155" s="14"/>
      <c r="UHW155" s="14"/>
      <c r="UHX155" s="14"/>
      <c r="UHY155" s="14"/>
      <c r="UHZ155" s="14"/>
      <c r="UIA155" s="14"/>
      <c r="UIB155" s="14"/>
      <c r="UIC155" s="14"/>
      <c r="UID155" s="14"/>
      <c r="UIE155" s="14"/>
      <c r="UIF155" s="14"/>
      <c r="UIG155" s="14"/>
      <c r="UIH155" s="14"/>
      <c r="UII155" s="14"/>
      <c r="UIJ155" s="14"/>
      <c r="UIK155" s="14"/>
      <c r="UIL155" s="14"/>
      <c r="UIM155" s="14"/>
      <c r="UIN155" s="14"/>
      <c r="UIO155" s="14"/>
      <c r="UIP155" s="14"/>
      <c r="UIQ155" s="14"/>
      <c r="UIR155" s="14"/>
      <c r="UIS155" s="14"/>
      <c r="UIT155" s="14"/>
      <c r="UIU155" s="14"/>
      <c r="UIV155" s="14"/>
      <c r="UIW155" s="14"/>
      <c r="UIX155" s="14"/>
      <c r="UIY155" s="14"/>
      <c r="UIZ155" s="14"/>
      <c r="UJA155" s="14"/>
      <c r="UJB155" s="14"/>
      <c r="UJC155" s="14"/>
      <c r="UJD155" s="14"/>
      <c r="UJE155" s="14"/>
      <c r="UJF155" s="14"/>
      <c r="UJG155" s="14"/>
      <c r="UJH155" s="14"/>
      <c r="UJI155" s="14"/>
      <c r="UJJ155" s="14"/>
      <c r="UJK155" s="14"/>
      <c r="UJL155" s="14"/>
      <c r="UJM155" s="14"/>
      <c r="UJN155" s="14"/>
      <c r="UJO155" s="14"/>
      <c r="UJP155" s="14"/>
      <c r="UJQ155" s="14"/>
      <c r="UJR155" s="14"/>
      <c r="UJS155" s="14"/>
      <c r="UJT155" s="14"/>
      <c r="UJU155" s="14"/>
      <c r="UJV155" s="14"/>
      <c r="UJW155" s="14"/>
      <c r="UJX155" s="14"/>
      <c r="UJY155" s="14"/>
      <c r="UJZ155" s="14"/>
      <c r="UKA155" s="14"/>
      <c r="UKB155" s="14"/>
      <c r="UKC155" s="14"/>
      <c r="UKD155" s="14"/>
      <c r="UKE155" s="14"/>
      <c r="UKF155" s="14"/>
      <c r="UKG155" s="14"/>
      <c r="UKH155" s="14"/>
      <c r="UKI155" s="14"/>
      <c r="UKJ155" s="14"/>
      <c r="UKK155" s="14"/>
      <c r="UKL155" s="14"/>
      <c r="UKM155" s="14"/>
      <c r="UKN155" s="14"/>
      <c r="UKO155" s="14"/>
      <c r="UKP155" s="14"/>
      <c r="UKQ155" s="14"/>
      <c r="UKR155" s="14"/>
      <c r="UKS155" s="14"/>
      <c r="UKT155" s="14"/>
      <c r="UKU155" s="14"/>
      <c r="UKV155" s="14"/>
      <c r="UKW155" s="14"/>
      <c r="UKX155" s="14"/>
      <c r="UKY155" s="14"/>
      <c r="UKZ155" s="14"/>
      <c r="ULA155" s="14"/>
      <c r="ULB155" s="14"/>
      <c r="ULC155" s="14"/>
      <c r="ULD155" s="14"/>
      <c r="ULE155" s="14"/>
      <c r="ULF155" s="14"/>
      <c r="ULG155" s="14"/>
      <c r="ULH155" s="14"/>
      <c r="ULI155" s="14"/>
      <c r="ULJ155" s="14"/>
      <c r="ULK155" s="14"/>
      <c r="ULL155" s="14"/>
      <c r="ULM155" s="14"/>
      <c r="ULN155" s="14"/>
      <c r="ULO155" s="14"/>
      <c r="ULP155" s="14"/>
      <c r="ULQ155" s="14"/>
      <c r="ULR155" s="14"/>
      <c r="ULS155" s="14"/>
      <c r="ULT155" s="14"/>
      <c r="ULU155" s="14"/>
      <c r="ULV155" s="14"/>
      <c r="ULW155" s="14"/>
      <c r="ULX155" s="14"/>
      <c r="ULY155" s="14"/>
      <c r="ULZ155" s="14"/>
      <c r="UMA155" s="14"/>
      <c r="UMB155" s="14"/>
      <c r="UMC155" s="14"/>
      <c r="UMD155" s="14"/>
      <c r="UME155" s="14"/>
      <c r="UMF155" s="14"/>
      <c r="UMG155" s="14"/>
      <c r="UMH155" s="14"/>
      <c r="UMI155" s="14"/>
      <c r="UMJ155" s="14"/>
      <c r="UMK155" s="14"/>
      <c r="UML155" s="14"/>
      <c r="UMM155" s="14"/>
      <c r="UMN155" s="14"/>
      <c r="UMO155" s="14"/>
      <c r="UMP155" s="14"/>
      <c r="UMQ155" s="14"/>
      <c r="UMR155" s="14"/>
      <c r="UMS155" s="14"/>
      <c r="UMT155" s="14"/>
      <c r="UMU155" s="14"/>
      <c r="UMV155" s="14"/>
      <c r="UMW155" s="14"/>
      <c r="UMX155" s="14"/>
      <c r="UMY155" s="14"/>
      <c r="UMZ155" s="14"/>
      <c r="UNA155" s="14"/>
      <c r="UNB155" s="14"/>
      <c r="UNC155" s="14"/>
      <c r="UND155" s="14"/>
      <c r="UNE155" s="14"/>
      <c r="UNF155" s="14"/>
      <c r="UNG155" s="14"/>
      <c r="UNH155" s="14"/>
      <c r="UNI155" s="14"/>
      <c r="UNJ155" s="14"/>
      <c r="UNK155" s="14"/>
      <c r="UNL155" s="14"/>
      <c r="UNM155" s="14"/>
      <c r="UNN155" s="14"/>
      <c r="UNO155" s="14"/>
      <c r="UNP155" s="14"/>
      <c r="UNQ155" s="14"/>
      <c r="UNR155" s="14"/>
      <c r="UNS155" s="14"/>
      <c r="UNT155" s="14"/>
      <c r="UNU155" s="14"/>
      <c r="UNV155" s="14"/>
      <c r="UNW155" s="14"/>
      <c r="UNX155" s="14"/>
      <c r="UNY155" s="14"/>
      <c r="UNZ155" s="14"/>
      <c r="UOA155" s="14"/>
      <c r="UOB155" s="14"/>
      <c r="UOC155" s="14"/>
      <c r="UOD155" s="14"/>
      <c r="UOE155" s="14"/>
      <c r="UOF155" s="14"/>
      <c r="UOG155" s="14"/>
      <c r="UOH155" s="14"/>
      <c r="UOI155" s="14"/>
      <c r="UOJ155" s="14"/>
      <c r="UOK155" s="14"/>
      <c r="UOL155" s="14"/>
      <c r="UOM155" s="14"/>
      <c r="UON155" s="14"/>
      <c r="UOO155" s="14"/>
      <c r="UOP155" s="14"/>
      <c r="UOQ155" s="14"/>
      <c r="UOR155" s="14"/>
      <c r="UOS155" s="14"/>
      <c r="UOT155" s="14"/>
      <c r="UOU155" s="14"/>
      <c r="UOV155" s="14"/>
      <c r="UOW155" s="14"/>
      <c r="UOX155" s="14"/>
      <c r="UOY155" s="14"/>
      <c r="UOZ155" s="14"/>
      <c r="UPA155" s="14"/>
      <c r="UPB155" s="14"/>
      <c r="UPC155" s="14"/>
      <c r="UPD155" s="14"/>
      <c r="UPE155" s="14"/>
      <c r="UPF155" s="14"/>
      <c r="UPG155" s="14"/>
      <c r="UPH155" s="14"/>
      <c r="UPI155" s="14"/>
      <c r="UPJ155" s="14"/>
      <c r="UPK155" s="14"/>
      <c r="UPL155" s="14"/>
      <c r="UPM155" s="14"/>
      <c r="UPN155" s="14"/>
      <c r="UPO155" s="14"/>
      <c r="UPP155" s="14"/>
      <c r="UPQ155" s="14"/>
      <c r="UPR155" s="14"/>
      <c r="UPS155" s="14"/>
      <c r="UPT155" s="14"/>
      <c r="UPU155" s="14"/>
      <c r="UPV155" s="14"/>
      <c r="UPW155" s="14"/>
      <c r="UPX155" s="14"/>
      <c r="UPY155" s="14"/>
      <c r="UPZ155" s="14"/>
      <c r="UQA155" s="14"/>
      <c r="UQB155" s="14"/>
      <c r="UQC155" s="14"/>
      <c r="UQD155" s="14"/>
      <c r="UQE155" s="14"/>
      <c r="UQF155" s="14"/>
      <c r="UQG155" s="14"/>
      <c r="UQH155" s="14"/>
      <c r="UQI155" s="14"/>
      <c r="UQJ155" s="14"/>
      <c r="UQK155" s="14"/>
      <c r="UQL155" s="14"/>
      <c r="UQM155" s="14"/>
      <c r="UQN155" s="14"/>
      <c r="UQO155" s="14"/>
      <c r="UQP155" s="14"/>
      <c r="UQQ155" s="14"/>
      <c r="UQR155" s="14"/>
      <c r="UQS155" s="14"/>
      <c r="UQT155" s="14"/>
      <c r="UQU155" s="14"/>
      <c r="UQV155" s="14"/>
      <c r="UQW155" s="14"/>
      <c r="UQX155" s="14"/>
      <c r="UQY155" s="14"/>
      <c r="UQZ155" s="14"/>
      <c r="URA155" s="14"/>
      <c r="URB155" s="14"/>
      <c r="URC155" s="14"/>
      <c r="URD155" s="14"/>
      <c r="URE155" s="14"/>
      <c r="URF155" s="14"/>
      <c r="URG155" s="14"/>
      <c r="URH155" s="14"/>
      <c r="URI155" s="14"/>
      <c r="URJ155" s="14"/>
      <c r="URK155" s="14"/>
      <c r="URL155" s="14"/>
      <c r="URM155" s="14"/>
      <c r="URN155" s="14"/>
      <c r="URO155" s="14"/>
      <c r="URP155" s="14"/>
      <c r="URQ155" s="14"/>
      <c r="URR155" s="14"/>
      <c r="URS155" s="14"/>
      <c r="URT155" s="14"/>
      <c r="URU155" s="14"/>
      <c r="URV155" s="14"/>
      <c r="URW155" s="14"/>
      <c r="URX155" s="14"/>
      <c r="URY155" s="14"/>
      <c r="URZ155" s="14"/>
      <c r="USA155" s="14"/>
      <c r="USB155" s="14"/>
      <c r="USC155" s="14"/>
      <c r="USD155" s="14"/>
      <c r="USE155" s="14"/>
      <c r="USF155" s="14"/>
      <c r="USG155" s="14"/>
      <c r="USH155" s="14"/>
      <c r="USI155" s="14"/>
      <c r="USJ155" s="14"/>
      <c r="USK155" s="14"/>
      <c r="USL155" s="14"/>
      <c r="USM155" s="14"/>
      <c r="USN155" s="14"/>
      <c r="USO155" s="14"/>
      <c r="USP155" s="14"/>
      <c r="USQ155" s="14"/>
      <c r="USR155" s="14"/>
      <c r="USS155" s="14"/>
      <c r="UST155" s="14"/>
      <c r="USU155" s="14"/>
      <c r="USV155" s="14"/>
      <c r="USW155" s="14"/>
      <c r="USX155" s="14"/>
      <c r="USY155" s="14"/>
      <c r="USZ155" s="14"/>
      <c r="UTA155" s="14"/>
      <c r="UTB155" s="14"/>
      <c r="UTC155" s="14"/>
      <c r="UTD155" s="14"/>
      <c r="UTE155" s="14"/>
      <c r="UTF155" s="14"/>
      <c r="UTG155" s="14"/>
      <c r="UTH155" s="14"/>
      <c r="UTI155" s="14"/>
      <c r="UTJ155" s="14"/>
      <c r="UTK155" s="14"/>
      <c r="UTL155" s="14"/>
      <c r="UTM155" s="14"/>
      <c r="UTN155" s="14"/>
      <c r="UTO155" s="14"/>
      <c r="UTP155" s="14"/>
      <c r="UTQ155" s="14"/>
      <c r="UTR155" s="14"/>
      <c r="UTS155" s="14"/>
      <c r="UTT155" s="14"/>
      <c r="UTU155" s="14"/>
      <c r="UTV155" s="14"/>
      <c r="UTW155" s="14"/>
      <c r="UTX155" s="14"/>
      <c r="UTY155" s="14"/>
      <c r="UTZ155" s="14"/>
      <c r="UUA155" s="14"/>
      <c r="UUB155" s="14"/>
      <c r="UUC155" s="14"/>
      <c r="UUD155" s="14"/>
      <c r="UUE155" s="14"/>
      <c r="UUF155" s="14"/>
      <c r="UUG155" s="14"/>
      <c r="UUH155" s="14"/>
      <c r="UUI155" s="14"/>
      <c r="UUJ155" s="14"/>
      <c r="UUK155" s="14"/>
      <c r="UUL155" s="14"/>
      <c r="UUM155" s="14"/>
      <c r="UUN155" s="14"/>
      <c r="UUO155" s="14"/>
      <c r="UUP155" s="14"/>
      <c r="UUQ155" s="14"/>
      <c r="UUR155" s="14"/>
      <c r="UUS155" s="14"/>
      <c r="UUT155" s="14"/>
      <c r="UUU155" s="14"/>
      <c r="UUV155" s="14"/>
      <c r="UUW155" s="14"/>
      <c r="UUX155" s="14"/>
      <c r="UUY155" s="14"/>
      <c r="UUZ155" s="14"/>
      <c r="UVA155" s="14"/>
      <c r="UVB155" s="14"/>
      <c r="UVC155" s="14"/>
      <c r="UVD155" s="14"/>
      <c r="UVE155" s="14"/>
      <c r="UVF155" s="14"/>
      <c r="UVG155" s="14"/>
      <c r="UVH155" s="14"/>
      <c r="UVI155" s="14"/>
      <c r="UVJ155" s="14"/>
      <c r="UVK155" s="14"/>
      <c r="UVL155" s="14"/>
      <c r="UVM155" s="14"/>
      <c r="UVN155" s="14"/>
      <c r="UVO155" s="14"/>
      <c r="UVP155" s="14"/>
      <c r="UVQ155" s="14"/>
      <c r="UVR155" s="14"/>
      <c r="UVS155" s="14"/>
      <c r="UVT155" s="14"/>
      <c r="UVU155" s="14"/>
      <c r="UVV155" s="14"/>
      <c r="UVW155" s="14"/>
      <c r="UVX155" s="14"/>
      <c r="UVY155" s="14"/>
      <c r="UVZ155" s="14"/>
      <c r="UWA155" s="14"/>
      <c r="UWB155" s="14"/>
      <c r="UWC155" s="14"/>
      <c r="UWD155" s="14"/>
      <c r="UWE155" s="14"/>
      <c r="UWF155" s="14"/>
      <c r="UWG155" s="14"/>
      <c r="UWH155" s="14"/>
      <c r="UWI155" s="14"/>
      <c r="UWJ155" s="14"/>
      <c r="UWK155" s="14"/>
      <c r="UWL155" s="14"/>
      <c r="UWM155" s="14"/>
      <c r="UWN155" s="14"/>
      <c r="UWO155" s="14"/>
      <c r="UWP155" s="14"/>
      <c r="UWQ155" s="14"/>
      <c r="UWR155" s="14"/>
      <c r="UWS155" s="14"/>
      <c r="UWT155" s="14"/>
      <c r="UWU155" s="14"/>
      <c r="UWV155" s="14"/>
      <c r="UWW155" s="14"/>
      <c r="UWX155" s="14"/>
      <c r="UWY155" s="14"/>
      <c r="UWZ155" s="14"/>
      <c r="UXA155" s="14"/>
      <c r="UXB155" s="14"/>
      <c r="UXC155" s="14"/>
      <c r="UXD155" s="14"/>
      <c r="UXE155" s="14"/>
      <c r="UXF155" s="14"/>
      <c r="UXG155" s="14"/>
      <c r="UXH155" s="14"/>
      <c r="UXI155" s="14"/>
      <c r="UXJ155" s="14"/>
      <c r="UXK155" s="14"/>
      <c r="UXL155" s="14"/>
      <c r="UXM155" s="14"/>
      <c r="UXN155" s="14"/>
      <c r="UXO155" s="14"/>
      <c r="UXP155" s="14"/>
      <c r="UXQ155" s="14"/>
      <c r="UXR155" s="14"/>
      <c r="UXS155" s="14"/>
      <c r="UXT155" s="14"/>
      <c r="UXU155" s="14"/>
      <c r="UXV155" s="14"/>
      <c r="UXW155" s="14"/>
      <c r="UXX155" s="14"/>
      <c r="UXY155" s="14"/>
      <c r="UXZ155" s="14"/>
      <c r="UYA155" s="14"/>
      <c r="UYB155" s="14"/>
      <c r="UYC155" s="14"/>
      <c r="UYD155" s="14"/>
      <c r="UYE155" s="14"/>
      <c r="UYF155" s="14"/>
      <c r="UYG155" s="14"/>
      <c r="UYH155" s="14"/>
      <c r="UYI155" s="14"/>
      <c r="UYJ155" s="14"/>
      <c r="UYK155" s="14"/>
      <c r="UYL155" s="14"/>
      <c r="UYM155" s="14"/>
      <c r="UYN155" s="14"/>
      <c r="UYO155" s="14"/>
      <c r="UYP155" s="14"/>
      <c r="UYQ155" s="14"/>
      <c r="UYR155" s="14"/>
      <c r="UYS155" s="14"/>
      <c r="UYT155" s="14"/>
      <c r="UYU155" s="14"/>
      <c r="UYV155" s="14"/>
      <c r="UYW155" s="14"/>
      <c r="UYX155" s="14"/>
      <c r="UYY155" s="14"/>
      <c r="UYZ155" s="14"/>
      <c r="UZA155" s="14"/>
      <c r="UZB155" s="14"/>
      <c r="UZC155" s="14"/>
      <c r="UZD155" s="14"/>
      <c r="UZE155" s="14"/>
      <c r="UZF155" s="14"/>
      <c r="UZG155" s="14"/>
      <c r="UZH155" s="14"/>
      <c r="UZI155" s="14"/>
      <c r="UZJ155" s="14"/>
      <c r="UZK155" s="14"/>
      <c r="UZL155" s="14"/>
      <c r="UZM155" s="14"/>
      <c r="UZN155" s="14"/>
      <c r="UZO155" s="14"/>
      <c r="UZP155" s="14"/>
      <c r="UZQ155" s="14"/>
      <c r="UZR155" s="14"/>
      <c r="UZS155" s="14"/>
      <c r="UZT155" s="14"/>
      <c r="UZU155" s="14"/>
      <c r="UZV155" s="14"/>
      <c r="UZW155" s="14"/>
      <c r="UZX155" s="14"/>
      <c r="UZY155" s="14"/>
      <c r="UZZ155" s="14"/>
      <c r="VAA155" s="14"/>
      <c r="VAB155" s="14"/>
      <c r="VAC155" s="14"/>
      <c r="VAD155" s="14"/>
      <c r="VAE155" s="14"/>
      <c r="VAF155" s="14"/>
      <c r="VAG155" s="14"/>
      <c r="VAH155" s="14"/>
      <c r="VAI155" s="14"/>
      <c r="VAJ155" s="14"/>
      <c r="VAK155" s="14"/>
      <c r="VAL155" s="14"/>
      <c r="VAM155" s="14"/>
      <c r="VAN155" s="14"/>
      <c r="VAO155" s="14"/>
      <c r="VAP155" s="14"/>
      <c r="VAQ155" s="14"/>
      <c r="VAR155" s="14"/>
      <c r="VAS155" s="14"/>
      <c r="VAT155" s="14"/>
      <c r="VAU155" s="14"/>
      <c r="VAV155" s="14"/>
      <c r="VAW155" s="14"/>
      <c r="VAX155" s="14"/>
      <c r="VAY155" s="14"/>
      <c r="VAZ155" s="14"/>
      <c r="VBA155" s="14"/>
      <c r="VBB155" s="14"/>
      <c r="VBC155" s="14"/>
      <c r="VBD155" s="14"/>
      <c r="VBE155" s="14"/>
      <c r="VBF155" s="14"/>
      <c r="VBG155" s="14"/>
      <c r="VBH155" s="14"/>
      <c r="VBI155" s="14"/>
      <c r="VBJ155" s="14"/>
      <c r="VBK155" s="14"/>
      <c r="VBL155" s="14"/>
      <c r="VBM155" s="14"/>
      <c r="VBN155" s="14"/>
      <c r="VBO155" s="14"/>
      <c r="VBP155" s="14"/>
      <c r="VBQ155" s="14"/>
      <c r="VBR155" s="14"/>
      <c r="VBS155" s="14"/>
      <c r="VBT155" s="14"/>
      <c r="VBU155" s="14"/>
      <c r="VBV155" s="14"/>
      <c r="VBW155" s="14"/>
      <c r="VBX155" s="14"/>
      <c r="VBY155" s="14"/>
      <c r="VBZ155" s="14"/>
      <c r="VCA155" s="14"/>
      <c r="VCB155" s="14"/>
      <c r="VCC155" s="14"/>
      <c r="VCD155" s="14"/>
      <c r="VCE155" s="14"/>
      <c r="VCF155" s="14"/>
      <c r="VCG155" s="14"/>
      <c r="VCH155" s="14"/>
      <c r="VCI155" s="14"/>
      <c r="VCJ155" s="14"/>
      <c r="VCK155" s="14"/>
      <c r="VCL155" s="14"/>
      <c r="VCM155" s="14"/>
      <c r="VCN155" s="14"/>
      <c r="VCO155" s="14"/>
      <c r="VCP155" s="14"/>
      <c r="VCQ155" s="14"/>
      <c r="VCR155" s="14"/>
      <c r="VCS155" s="14"/>
      <c r="VCT155" s="14"/>
      <c r="VCU155" s="14"/>
      <c r="VCV155" s="14"/>
      <c r="VCW155" s="14"/>
      <c r="VCX155" s="14"/>
      <c r="VCY155" s="14"/>
      <c r="VCZ155" s="14"/>
      <c r="VDA155" s="14"/>
      <c r="VDB155" s="14"/>
      <c r="VDC155" s="14"/>
      <c r="VDD155" s="14"/>
      <c r="VDE155" s="14"/>
      <c r="VDF155" s="14"/>
      <c r="VDG155" s="14"/>
      <c r="VDH155" s="14"/>
      <c r="VDI155" s="14"/>
      <c r="VDJ155" s="14"/>
      <c r="VDK155" s="14"/>
      <c r="VDL155" s="14"/>
      <c r="VDM155" s="14"/>
      <c r="VDN155" s="14"/>
      <c r="VDO155" s="14"/>
      <c r="VDP155" s="14"/>
      <c r="VDQ155" s="14"/>
      <c r="VDR155" s="14"/>
      <c r="VDS155" s="14"/>
      <c r="VDT155" s="14"/>
      <c r="VDU155" s="14"/>
      <c r="VDV155" s="14"/>
      <c r="VDW155" s="14"/>
      <c r="VDX155" s="14"/>
      <c r="VDY155" s="14"/>
      <c r="VDZ155" s="14"/>
      <c r="VEA155" s="14"/>
      <c r="VEB155" s="14"/>
      <c r="VEC155" s="14"/>
      <c r="VED155" s="14"/>
      <c r="VEE155" s="14"/>
      <c r="VEF155" s="14"/>
      <c r="VEG155" s="14"/>
      <c r="VEH155" s="14"/>
      <c r="VEI155" s="14"/>
      <c r="VEJ155" s="14"/>
      <c r="VEK155" s="14"/>
      <c r="VEL155" s="14"/>
      <c r="VEM155" s="14"/>
      <c r="VEN155" s="14"/>
      <c r="VEO155" s="14"/>
      <c r="VEP155" s="14"/>
      <c r="VEQ155" s="14"/>
      <c r="VER155" s="14"/>
      <c r="VES155" s="14"/>
      <c r="VET155" s="14"/>
      <c r="VEU155" s="14"/>
      <c r="VEV155" s="14"/>
      <c r="VEW155" s="14"/>
      <c r="VEX155" s="14"/>
      <c r="VEY155" s="14"/>
      <c r="VEZ155" s="14"/>
      <c r="VFA155" s="14"/>
      <c r="VFB155" s="14"/>
      <c r="VFC155" s="14"/>
      <c r="VFD155" s="14"/>
      <c r="VFE155" s="14"/>
      <c r="VFF155" s="14"/>
      <c r="VFG155" s="14"/>
      <c r="VFH155" s="14"/>
      <c r="VFI155" s="14"/>
      <c r="VFJ155" s="14"/>
      <c r="VFK155" s="14"/>
      <c r="VFL155" s="14"/>
      <c r="VFM155" s="14"/>
      <c r="VFN155" s="14"/>
      <c r="VFO155" s="14"/>
      <c r="VFP155" s="14"/>
      <c r="VFQ155" s="14"/>
      <c r="VFR155" s="14"/>
      <c r="VFS155" s="14"/>
      <c r="VFT155" s="14"/>
      <c r="VFU155" s="14"/>
      <c r="VFV155" s="14"/>
      <c r="VFW155" s="14"/>
      <c r="VFX155" s="14"/>
      <c r="VFY155" s="14"/>
      <c r="VFZ155" s="14"/>
      <c r="VGA155" s="14"/>
      <c r="VGB155" s="14"/>
      <c r="VGC155" s="14"/>
      <c r="VGD155" s="14"/>
      <c r="VGE155" s="14"/>
      <c r="VGF155" s="14"/>
      <c r="VGG155" s="14"/>
      <c r="VGH155" s="14"/>
      <c r="VGI155" s="14"/>
      <c r="VGJ155" s="14"/>
      <c r="VGK155" s="14"/>
      <c r="VGL155" s="14"/>
      <c r="VGM155" s="14"/>
      <c r="VGN155" s="14"/>
      <c r="VGO155" s="14"/>
      <c r="VGP155" s="14"/>
      <c r="VGQ155" s="14"/>
      <c r="VGR155" s="14"/>
      <c r="VGS155" s="14"/>
      <c r="VGT155" s="14"/>
      <c r="VGU155" s="14"/>
      <c r="VGV155" s="14"/>
      <c r="VGW155" s="14"/>
      <c r="VGX155" s="14"/>
      <c r="VGY155" s="14"/>
      <c r="VGZ155" s="14"/>
      <c r="VHA155" s="14"/>
      <c r="VHB155" s="14"/>
      <c r="VHC155" s="14"/>
      <c r="VHD155" s="14"/>
      <c r="VHE155" s="14"/>
      <c r="VHF155" s="14"/>
      <c r="VHG155" s="14"/>
      <c r="VHH155" s="14"/>
      <c r="VHI155" s="14"/>
      <c r="VHJ155" s="14"/>
      <c r="VHK155" s="14"/>
      <c r="VHL155" s="14"/>
      <c r="VHM155" s="14"/>
      <c r="VHN155" s="14"/>
      <c r="VHO155" s="14"/>
      <c r="VHP155" s="14"/>
      <c r="VHQ155" s="14"/>
      <c r="VHR155" s="14"/>
      <c r="VHS155" s="14"/>
      <c r="VHT155" s="14"/>
      <c r="VHU155" s="14"/>
      <c r="VHV155" s="14"/>
      <c r="VHW155" s="14"/>
      <c r="VHX155" s="14"/>
      <c r="VHY155" s="14"/>
      <c r="VHZ155" s="14"/>
      <c r="VIA155" s="14"/>
      <c r="VIB155" s="14"/>
      <c r="VIC155" s="14"/>
      <c r="VID155" s="14"/>
      <c r="VIE155" s="14"/>
      <c r="VIF155" s="14"/>
      <c r="VIG155" s="14"/>
      <c r="VIH155" s="14"/>
      <c r="VII155" s="14"/>
      <c r="VIJ155" s="14"/>
      <c r="VIK155" s="14"/>
      <c r="VIL155" s="14"/>
      <c r="VIM155" s="14"/>
      <c r="VIN155" s="14"/>
      <c r="VIO155" s="14"/>
      <c r="VIP155" s="14"/>
      <c r="VIQ155" s="14"/>
      <c r="VIR155" s="14"/>
      <c r="VIS155" s="14"/>
      <c r="VIT155" s="14"/>
      <c r="VIU155" s="14"/>
      <c r="VIV155" s="14"/>
      <c r="VIW155" s="14"/>
      <c r="VIX155" s="14"/>
      <c r="VIY155" s="14"/>
      <c r="VIZ155" s="14"/>
      <c r="VJA155" s="14"/>
      <c r="VJB155" s="14"/>
      <c r="VJC155" s="14"/>
      <c r="VJD155" s="14"/>
      <c r="VJE155" s="14"/>
      <c r="VJF155" s="14"/>
      <c r="VJG155" s="14"/>
      <c r="VJH155" s="14"/>
      <c r="VJI155" s="14"/>
      <c r="VJJ155" s="14"/>
      <c r="VJK155" s="14"/>
      <c r="VJL155" s="14"/>
      <c r="VJM155" s="14"/>
      <c r="VJN155" s="14"/>
      <c r="VJO155" s="14"/>
      <c r="VJP155" s="14"/>
      <c r="VJQ155" s="14"/>
      <c r="VJR155" s="14"/>
      <c r="VJS155" s="14"/>
      <c r="VJT155" s="14"/>
      <c r="VJU155" s="14"/>
      <c r="VJV155" s="14"/>
      <c r="VJW155" s="14"/>
      <c r="VJX155" s="14"/>
      <c r="VJY155" s="14"/>
      <c r="VJZ155" s="14"/>
      <c r="VKA155" s="14"/>
      <c r="VKB155" s="14"/>
      <c r="VKC155" s="14"/>
      <c r="VKD155" s="14"/>
      <c r="VKE155" s="14"/>
      <c r="VKF155" s="14"/>
      <c r="VKG155" s="14"/>
      <c r="VKH155" s="14"/>
      <c r="VKI155" s="14"/>
      <c r="VKJ155" s="14"/>
      <c r="VKK155" s="14"/>
      <c r="VKL155" s="14"/>
      <c r="VKM155" s="14"/>
      <c r="VKN155" s="14"/>
      <c r="VKO155" s="14"/>
      <c r="VKP155" s="14"/>
      <c r="VKQ155" s="14"/>
      <c r="VKR155" s="14"/>
      <c r="VKS155" s="14"/>
      <c r="VKT155" s="14"/>
      <c r="VKU155" s="14"/>
      <c r="VKV155" s="14"/>
      <c r="VKW155" s="14"/>
      <c r="VKX155" s="14"/>
      <c r="VKY155" s="14"/>
      <c r="VKZ155" s="14"/>
      <c r="VLA155" s="14"/>
      <c r="VLB155" s="14"/>
      <c r="VLC155" s="14"/>
      <c r="VLD155" s="14"/>
      <c r="VLE155" s="14"/>
      <c r="VLF155" s="14"/>
      <c r="VLG155" s="14"/>
      <c r="VLH155" s="14"/>
      <c r="VLI155" s="14"/>
      <c r="VLJ155" s="14"/>
      <c r="VLK155" s="14"/>
      <c r="VLL155" s="14"/>
      <c r="VLM155" s="14"/>
      <c r="VLN155" s="14"/>
      <c r="VLO155" s="14"/>
      <c r="VLP155" s="14"/>
      <c r="VLQ155" s="14"/>
      <c r="VLR155" s="14"/>
      <c r="VLS155" s="14"/>
      <c r="VLT155" s="14"/>
      <c r="VLU155" s="14"/>
      <c r="VLV155" s="14"/>
      <c r="VLW155" s="14"/>
      <c r="VLX155" s="14"/>
      <c r="VLY155" s="14"/>
      <c r="VLZ155" s="14"/>
      <c r="VMA155" s="14"/>
      <c r="VMB155" s="14"/>
      <c r="VMC155" s="14"/>
      <c r="VMD155" s="14"/>
      <c r="VME155" s="14"/>
      <c r="VMF155" s="14"/>
      <c r="VMG155" s="14"/>
      <c r="VMH155" s="14"/>
      <c r="VMI155" s="14"/>
      <c r="VMJ155" s="14"/>
      <c r="VMK155" s="14"/>
      <c r="VML155" s="14"/>
      <c r="VMM155" s="14"/>
      <c r="VMN155" s="14"/>
      <c r="VMO155" s="14"/>
      <c r="VMP155" s="14"/>
      <c r="VMQ155" s="14"/>
      <c r="VMR155" s="14"/>
      <c r="VMS155" s="14"/>
      <c r="VMT155" s="14"/>
      <c r="VMU155" s="14"/>
      <c r="VMV155" s="14"/>
      <c r="VMW155" s="14"/>
      <c r="VMX155" s="14"/>
      <c r="VMY155" s="14"/>
      <c r="VMZ155" s="14"/>
      <c r="VNA155" s="14"/>
      <c r="VNB155" s="14"/>
      <c r="VNC155" s="14"/>
      <c r="VND155" s="14"/>
      <c r="VNE155" s="14"/>
      <c r="VNF155" s="14"/>
      <c r="VNG155" s="14"/>
      <c r="VNH155" s="14"/>
      <c r="VNI155" s="14"/>
      <c r="VNJ155" s="14"/>
      <c r="VNK155" s="14"/>
      <c r="VNL155" s="14"/>
      <c r="VNM155" s="14"/>
      <c r="VNN155" s="14"/>
      <c r="VNO155" s="14"/>
      <c r="VNP155" s="14"/>
      <c r="VNQ155" s="14"/>
      <c r="VNR155" s="14"/>
      <c r="VNS155" s="14"/>
      <c r="VNT155" s="14"/>
      <c r="VNU155" s="14"/>
      <c r="VNV155" s="14"/>
      <c r="VNW155" s="14"/>
      <c r="VNX155" s="14"/>
      <c r="VNY155" s="14"/>
      <c r="VNZ155" s="14"/>
      <c r="VOA155" s="14"/>
      <c r="VOB155" s="14"/>
      <c r="VOC155" s="14"/>
      <c r="VOD155" s="14"/>
      <c r="VOE155" s="14"/>
      <c r="VOF155" s="14"/>
      <c r="VOG155" s="14"/>
      <c r="VOH155" s="14"/>
      <c r="VOI155" s="14"/>
      <c r="VOJ155" s="14"/>
      <c r="VOK155" s="14"/>
      <c r="VOL155" s="14"/>
      <c r="VOM155" s="14"/>
      <c r="VON155" s="14"/>
      <c r="VOO155" s="14"/>
      <c r="VOP155" s="14"/>
      <c r="VOQ155" s="14"/>
      <c r="VOR155" s="14"/>
      <c r="VOS155" s="14"/>
      <c r="VOT155" s="14"/>
      <c r="VOU155" s="14"/>
      <c r="VOV155" s="14"/>
      <c r="VOW155" s="14"/>
      <c r="VOX155" s="14"/>
      <c r="VOY155" s="14"/>
      <c r="VOZ155" s="14"/>
      <c r="VPA155" s="14"/>
      <c r="VPB155" s="14"/>
      <c r="VPC155" s="14"/>
      <c r="VPD155" s="14"/>
      <c r="VPE155" s="14"/>
      <c r="VPF155" s="14"/>
      <c r="VPG155" s="14"/>
      <c r="VPH155" s="14"/>
      <c r="VPI155" s="14"/>
      <c r="VPJ155" s="14"/>
      <c r="VPK155" s="14"/>
      <c r="VPL155" s="14"/>
      <c r="VPM155" s="14"/>
      <c r="VPN155" s="14"/>
      <c r="VPO155" s="14"/>
      <c r="VPP155" s="14"/>
      <c r="VPQ155" s="14"/>
      <c r="VPR155" s="14"/>
      <c r="VPS155" s="14"/>
      <c r="VPT155" s="14"/>
      <c r="VPU155" s="14"/>
      <c r="VPV155" s="14"/>
      <c r="VPW155" s="14"/>
      <c r="VPX155" s="14"/>
      <c r="VPY155" s="14"/>
      <c r="VPZ155" s="14"/>
      <c r="VQA155" s="14"/>
      <c r="VQB155" s="14"/>
      <c r="VQC155" s="14"/>
      <c r="VQD155" s="14"/>
      <c r="VQE155" s="14"/>
      <c r="VQF155" s="14"/>
      <c r="VQG155" s="14"/>
      <c r="VQH155" s="14"/>
      <c r="VQI155" s="14"/>
      <c r="VQJ155" s="14"/>
      <c r="VQK155" s="14"/>
      <c r="VQL155" s="14"/>
      <c r="VQM155" s="14"/>
      <c r="VQN155" s="14"/>
      <c r="VQO155" s="14"/>
      <c r="VQP155" s="14"/>
      <c r="VQQ155" s="14"/>
      <c r="VQR155" s="14"/>
      <c r="VQS155" s="14"/>
      <c r="VQT155" s="14"/>
      <c r="VQU155" s="14"/>
      <c r="VQV155" s="14"/>
      <c r="VQW155" s="14"/>
      <c r="VQX155" s="14"/>
      <c r="VQY155" s="14"/>
      <c r="VQZ155" s="14"/>
      <c r="VRA155" s="14"/>
      <c r="VRB155" s="14"/>
      <c r="VRC155" s="14"/>
      <c r="VRD155" s="14"/>
      <c r="VRE155" s="14"/>
      <c r="VRF155" s="14"/>
      <c r="VRG155" s="14"/>
      <c r="VRH155" s="14"/>
      <c r="VRI155" s="14"/>
      <c r="VRJ155" s="14"/>
      <c r="VRK155" s="14"/>
      <c r="VRL155" s="14"/>
      <c r="VRM155" s="14"/>
      <c r="VRN155" s="14"/>
      <c r="VRO155" s="14"/>
      <c r="VRP155" s="14"/>
      <c r="VRQ155" s="14"/>
      <c r="VRR155" s="14"/>
      <c r="VRS155" s="14"/>
      <c r="VRT155" s="14"/>
      <c r="VRU155" s="14"/>
      <c r="VRV155" s="14"/>
      <c r="VRW155" s="14"/>
      <c r="VRX155" s="14"/>
      <c r="VRY155" s="14"/>
      <c r="VRZ155" s="14"/>
      <c r="VSA155" s="14"/>
      <c r="VSB155" s="14"/>
      <c r="VSC155" s="14"/>
      <c r="VSD155" s="14"/>
      <c r="VSE155" s="14"/>
      <c r="VSF155" s="14"/>
      <c r="VSG155" s="14"/>
      <c r="VSH155" s="14"/>
      <c r="VSI155" s="14"/>
      <c r="VSJ155" s="14"/>
      <c r="VSK155" s="14"/>
      <c r="VSL155" s="14"/>
      <c r="VSM155" s="14"/>
      <c r="VSN155" s="14"/>
      <c r="VSO155" s="14"/>
      <c r="VSP155" s="14"/>
      <c r="VSQ155" s="14"/>
      <c r="VSR155" s="14"/>
      <c r="VSS155" s="14"/>
      <c r="VST155" s="14"/>
      <c r="VSU155" s="14"/>
      <c r="VSV155" s="14"/>
      <c r="VSW155" s="14"/>
      <c r="VSX155" s="14"/>
      <c r="VSY155" s="14"/>
      <c r="VSZ155" s="14"/>
      <c r="VTA155" s="14"/>
      <c r="VTB155" s="14"/>
      <c r="VTC155" s="14"/>
      <c r="VTD155" s="14"/>
      <c r="VTE155" s="14"/>
      <c r="VTF155" s="14"/>
      <c r="VTG155" s="14"/>
      <c r="VTH155" s="14"/>
      <c r="VTI155" s="14"/>
      <c r="VTJ155" s="14"/>
      <c r="VTK155" s="14"/>
      <c r="VTL155" s="14"/>
      <c r="VTM155" s="14"/>
      <c r="VTN155" s="14"/>
      <c r="VTO155" s="14"/>
      <c r="VTP155" s="14"/>
      <c r="VTQ155" s="14"/>
      <c r="VTR155" s="14"/>
      <c r="VTS155" s="14"/>
      <c r="VTT155" s="14"/>
      <c r="VTU155" s="14"/>
      <c r="VTV155" s="14"/>
      <c r="VTW155" s="14"/>
      <c r="VTX155" s="14"/>
      <c r="VTY155" s="14"/>
      <c r="VTZ155" s="14"/>
      <c r="VUA155" s="14"/>
      <c r="VUB155" s="14"/>
      <c r="VUC155" s="14"/>
      <c r="VUD155" s="14"/>
      <c r="VUE155" s="14"/>
      <c r="VUF155" s="14"/>
      <c r="VUG155" s="14"/>
      <c r="VUH155" s="14"/>
      <c r="VUI155" s="14"/>
      <c r="VUJ155" s="14"/>
      <c r="VUK155" s="14"/>
      <c r="VUL155" s="14"/>
      <c r="VUM155" s="14"/>
      <c r="VUN155" s="14"/>
      <c r="VUO155" s="14"/>
      <c r="VUP155" s="14"/>
      <c r="VUQ155" s="14"/>
      <c r="VUR155" s="14"/>
      <c r="VUS155" s="14"/>
      <c r="VUT155" s="14"/>
      <c r="VUU155" s="14"/>
      <c r="VUV155" s="14"/>
      <c r="VUW155" s="14"/>
      <c r="VUX155" s="14"/>
      <c r="VUY155" s="14"/>
      <c r="VUZ155" s="14"/>
      <c r="VVA155" s="14"/>
      <c r="VVB155" s="14"/>
      <c r="VVC155" s="14"/>
      <c r="VVD155" s="14"/>
      <c r="VVE155" s="14"/>
      <c r="VVF155" s="14"/>
      <c r="VVG155" s="14"/>
      <c r="VVH155" s="14"/>
      <c r="VVI155" s="14"/>
      <c r="VVJ155" s="14"/>
      <c r="VVK155" s="14"/>
      <c r="VVL155" s="14"/>
      <c r="VVM155" s="14"/>
      <c r="VVN155" s="14"/>
      <c r="VVO155" s="14"/>
      <c r="VVP155" s="14"/>
      <c r="VVQ155" s="14"/>
      <c r="VVR155" s="14"/>
      <c r="VVS155" s="14"/>
      <c r="VVT155" s="14"/>
      <c r="VVU155" s="14"/>
      <c r="VVV155" s="14"/>
      <c r="VVW155" s="14"/>
      <c r="VVX155" s="14"/>
      <c r="VVY155" s="14"/>
      <c r="VVZ155" s="14"/>
      <c r="VWA155" s="14"/>
      <c r="VWB155" s="14"/>
      <c r="VWC155" s="14"/>
      <c r="VWD155" s="14"/>
      <c r="VWE155" s="14"/>
      <c r="VWF155" s="14"/>
      <c r="VWG155" s="14"/>
      <c r="VWH155" s="14"/>
      <c r="VWI155" s="14"/>
      <c r="VWJ155" s="14"/>
      <c r="VWK155" s="14"/>
      <c r="VWL155" s="14"/>
      <c r="VWM155" s="14"/>
      <c r="VWN155" s="14"/>
      <c r="VWO155" s="14"/>
      <c r="VWP155" s="14"/>
      <c r="VWQ155" s="14"/>
      <c r="VWR155" s="14"/>
      <c r="VWS155" s="14"/>
      <c r="VWT155" s="14"/>
      <c r="VWU155" s="14"/>
      <c r="VWV155" s="14"/>
      <c r="VWW155" s="14"/>
      <c r="VWX155" s="14"/>
      <c r="VWY155" s="14"/>
      <c r="VWZ155" s="14"/>
      <c r="VXA155" s="14"/>
      <c r="VXB155" s="14"/>
      <c r="VXC155" s="14"/>
      <c r="VXD155" s="14"/>
      <c r="VXE155" s="14"/>
      <c r="VXF155" s="14"/>
      <c r="VXG155" s="14"/>
      <c r="VXH155" s="14"/>
      <c r="VXI155" s="14"/>
      <c r="VXJ155" s="14"/>
      <c r="VXK155" s="14"/>
      <c r="VXL155" s="14"/>
      <c r="VXM155" s="14"/>
      <c r="VXN155" s="14"/>
      <c r="VXO155" s="14"/>
      <c r="VXP155" s="14"/>
      <c r="VXQ155" s="14"/>
      <c r="VXR155" s="14"/>
      <c r="VXS155" s="14"/>
      <c r="VXT155" s="14"/>
      <c r="VXU155" s="14"/>
      <c r="VXV155" s="14"/>
      <c r="VXW155" s="14"/>
      <c r="VXX155" s="14"/>
      <c r="VXY155" s="14"/>
      <c r="VXZ155" s="14"/>
      <c r="VYA155" s="14"/>
      <c r="VYB155" s="14"/>
      <c r="VYC155" s="14"/>
      <c r="VYD155" s="14"/>
      <c r="VYE155" s="14"/>
      <c r="VYF155" s="14"/>
      <c r="VYG155" s="14"/>
      <c r="VYH155" s="14"/>
      <c r="VYI155" s="14"/>
      <c r="VYJ155" s="14"/>
      <c r="VYK155" s="14"/>
      <c r="VYL155" s="14"/>
      <c r="VYM155" s="14"/>
      <c r="VYN155" s="14"/>
      <c r="VYO155" s="14"/>
      <c r="VYP155" s="14"/>
      <c r="VYQ155" s="14"/>
      <c r="VYR155" s="14"/>
      <c r="VYS155" s="14"/>
      <c r="VYT155" s="14"/>
      <c r="VYU155" s="14"/>
      <c r="VYV155" s="14"/>
      <c r="VYW155" s="14"/>
      <c r="VYX155" s="14"/>
      <c r="VYY155" s="14"/>
      <c r="VYZ155" s="14"/>
      <c r="VZA155" s="14"/>
      <c r="VZB155" s="14"/>
      <c r="VZC155" s="14"/>
      <c r="VZD155" s="14"/>
      <c r="VZE155" s="14"/>
      <c r="VZF155" s="14"/>
      <c r="VZG155" s="14"/>
      <c r="VZH155" s="14"/>
      <c r="VZI155" s="14"/>
      <c r="VZJ155" s="14"/>
      <c r="VZK155" s="14"/>
      <c r="VZL155" s="14"/>
      <c r="VZM155" s="14"/>
      <c r="VZN155" s="14"/>
      <c r="VZO155" s="14"/>
      <c r="VZP155" s="14"/>
      <c r="VZQ155" s="14"/>
      <c r="VZR155" s="14"/>
      <c r="VZS155" s="14"/>
      <c r="VZT155" s="14"/>
      <c r="VZU155" s="14"/>
      <c r="VZV155" s="14"/>
      <c r="VZW155" s="14"/>
      <c r="VZX155" s="14"/>
      <c r="VZY155" s="14"/>
      <c r="VZZ155" s="14"/>
      <c r="WAA155" s="14"/>
      <c r="WAB155" s="14"/>
      <c r="WAC155" s="14"/>
      <c r="WAD155" s="14"/>
      <c r="WAE155" s="14"/>
      <c r="WAF155" s="14"/>
      <c r="WAG155" s="14"/>
      <c r="WAH155" s="14"/>
      <c r="WAI155" s="14"/>
      <c r="WAJ155" s="14"/>
      <c r="WAK155" s="14"/>
      <c r="WAL155" s="14"/>
      <c r="WAM155" s="14"/>
      <c r="WAN155" s="14"/>
      <c r="WAO155" s="14"/>
      <c r="WAP155" s="14"/>
      <c r="WAQ155" s="14"/>
      <c r="WAR155" s="14"/>
      <c r="WAS155" s="14"/>
      <c r="WAT155" s="14"/>
      <c r="WAU155" s="14"/>
      <c r="WAV155" s="14"/>
      <c r="WAW155" s="14"/>
      <c r="WAX155" s="14"/>
      <c r="WAY155" s="14"/>
      <c r="WAZ155" s="14"/>
      <c r="WBA155" s="14"/>
      <c r="WBB155" s="14"/>
      <c r="WBC155" s="14"/>
      <c r="WBD155" s="14"/>
      <c r="WBE155" s="14"/>
      <c r="WBF155" s="14"/>
      <c r="WBG155" s="14"/>
      <c r="WBH155" s="14"/>
      <c r="WBI155" s="14"/>
      <c r="WBJ155" s="14"/>
      <c r="WBK155" s="14"/>
      <c r="WBL155" s="14"/>
      <c r="WBM155" s="14"/>
      <c r="WBN155" s="14"/>
      <c r="WBO155" s="14"/>
      <c r="WBP155" s="14"/>
      <c r="WBQ155" s="14"/>
      <c r="WBR155" s="14"/>
      <c r="WBS155" s="14"/>
      <c r="WBT155" s="14"/>
      <c r="WBU155" s="14"/>
      <c r="WBV155" s="14"/>
      <c r="WBW155" s="14"/>
      <c r="WBX155" s="14"/>
      <c r="WBY155" s="14"/>
      <c r="WBZ155" s="14"/>
      <c r="WCA155" s="14"/>
      <c r="WCB155" s="14"/>
      <c r="WCC155" s="14"/>
      <c r="WCD155" s="14"/>
      <c r="WCE155" s="14"/>
      <c r="WCF155" s="14"/>
      <c r="WCG155" s="14"/>
      <c r="WCH155" s="14"/>
      <c r="WCI155" s="14"/>
      <c r="WCJ155" s="14"/>
      <c r="WCK155" s="14"/>
      <c r="WCL155" s="14"/>
      <c r="WCM155" s="14"/>
      <c r="WCN155" s="14"/>
      <c r="WCO155" s="14"/>
      <c r="WCP155" s="14"/>
      <c r="WCQ155" s="14"/>
      <c r="WCR155" s="14"/>
      <c r="WCS155" s="14"/>
      <c r="WCT155" s="14"/>
      <c r="WCU155" s="14"/>
      <c r="WCV155" s="14"/>
      <c r="WCW155" s="14"/>
      <c r="WCX155" s="14"/>
      <c r="WCY155" s="14"/>
      <c r="WCZ155" s="14"/>
      <c r="WDA155" s="14"/>
      <c r="WDB155" s="14"/>
      <c r="WDC155" s="14"/>
      <c r="WDD155" s="14"/>
      <c r="WDE155" s="14"/>
      <c r="WDF155" s="14"/>
      <c r="WDG155" s="14"/>
      <c r="WDH155" s="14"/>
      <c r="WDI155" s="14"/>
      <c r="WDJ155" s="14"/>
      <c r="WDK155" s="14"/>
      <c r="WDL155" s="14"/>
      <c r="WDM155" s="14"/>
      <c r="WDN155" s="14"/>
      <c r="WDO155" s="14"/>
      <c r="WDP155" s="14"/>
      <c r="WDQ155" s="14"/>
      <c r="WDR155" s="14"/>
      <c r="WDS155" s="14"/>
      <c r="WDT155" s="14"/>
      <c r="WDU155" s="14"/>
      <c r="WDV155" s="14"/>
      <c r="WDW155" s="14"/>
      <c r="WDX155" s="14"/>
      <c r="WDY155" s="14"/>
      <c r="WDZ155" s="14"/>
      <c r="WEA155" s="14"/>
      <c r="WEB155" s="14"/>
      <c r="WEC155" s="14"/>
      <c r="WED155" s="14"/>
      <c r="WEE155" s="14"/>
      <c r="WEF155" s="14"/>
      <c r="WEG155" s="14"/>
      <c r="WEH155" s="14"/>
      <c r="WEI155" s="14"/>
      <c r="WEJ155" s="14"/>
      <c r="WEK155" s="14"/>
      <c r="WEL155" s="14"/>
      <c r="WEM155" s="14"/>
      <c r="WEN155" s="14"/>
      <c r="WEO155" s="14"/>
      <c r="WEP155" s="14"/>
      <c r="WEQ155" s="14"/>
      <c r="WER155" s="14"/>
      <c r="WES155" s="14"/>
      <c r="WET155" s="14"/>
      <c r="WEU155" s="14"/>
      <c r="WEV155" s="14"/>
      <c r="WEW155" s="14"/>
      <c r="WEX155" s="14"/>
      <c r="WEY155" s="14"/>
      <c r="WEZ155" s="14"/>
      <c r="WFA155" s="14"/>
      <c r="WFB155" s="14"/>
      <c r="WFC155" s="14"/>
      <c r="WFD155" s="14"/>
      <c r="WFE155" s="14"/>
      <c r="WFF155" s="14"/>
      <c r="WFG155" s="14"/>
      <c r="WFH155" s="14"/>
      <c r="WFI155" s="14"/>
      <c r="WFJ155" s="14"/>
      <c r="WFK155" s="14"/>
      <c r="WFL155" s="14"/>
      <c r="WFM155" s="14"/>
      <c r="WFN155" s="14"/>
      <c r="WFO155" s="14"/>
      <c r="WFP155" s="14"/>
      <c r="WFQ155" s="14"/>
      <c r="WFR155" s="14"/>
      <c r="WFS155" s="14"/>
      <c r="WFT155" s="14"/>
      <c r="WFU155" s="14"/>
      <c r="WFV155" s="14"/>
      <c r="WFW155" s="14"/>
      <c r="WFX155" s="14"/>
      <c r="WFY155" s="14"/>
      <c r="WFZ155" s="14"/>
      <c r="WGA155" s="14"/>
      <c r="WGB155" s="14"/>
      <c r="WGC155" s="14"/>
      <c r="WGD155" s="14"/>
      <c r="WGE155" s="14"/>
      <c r="WGF155" s="14"/>
      <c r="WGG155" s="14"/>
      <c r="WGH155" s="14"/>
      <c r="WGI155" s="14"/>
      <c r="WGJ155" s="14"/>
      <c r="WGK155" s="14"/>
      <c r="WGL155" s="14"/>
      <c r="WGM155" s="14"/>
      <c r="WGN155" s="14"/>
      <c r="WGO155" s="14"/>
      <c r="WGP155" s="14"/>
      <c r="WGQ155" s="14"/>
      <c r="WGR155" s="14"/>
      <c r="WGS155" s="14"/>
      <c r="WGT155" s="14"/>
      <c r="WGU155" s="14"/>
      <c r="WGV155" s="14"/>
      <c r="WGW155" s="14"/>
      <c r="WGX155" s="14"/>
      <c r="WGY155" s="14"/>
      <c r="WGZ155" s="14"/>
      <c r="WHA155" s="14"/>
      <c r="WHB155" s="14"/>
      <c r="WHC155" s="14"/>
      <c r="WHD155" s="14"/>
      <c r="WHE155" s="14"/>
      <c r="WHF155" s="14"/>
      <c r="WHG155" s="14"/>
      <c r="WHH155" s="14"/>
      <c r="WHI155" s="14"/>
      <c r="WHJ155" s="14"/>
      <c r="WHK155" s="14"/>
      <c r="WHL155" s="14"/>
      <c r="WHM155" s="14"/>
      <c r="WHN155" s="14"/>
      <c r="WHO155" s="14"/>
      <c r="WHP155" s="14"/>
      <c r="WHQ155" s="14"/>
      <c r="WHR155" s="14"/>
      <c r="WHS155" s="14"/>
      <c r="WHT155" s="14"/>
      <c r="WHU155" s="14"/>
      <c r="WHV155" s="14"/>
      <c r="WHW155" s="14"/>
      <c r="WHX155" s="14"/>
      <c r="WHY155" s="14"/>
      <c r="WHZ155" s="14"/>
      <c r="WIA155" s="14"/>
      <c r="WIB155" s="14"/>
      <c r="WIC155" s="14"/>
      <c r="WID155" s="14"/>
      <c r="WIE155" s="14"/>
      <c r="WIF155" s="14"/>
      <c r="WIG155" s="14"/>
      <c r="WIH155" s="14"/>
      <c r="WII155" s="14"/>
      <c r="WIJ155" s="14"/>
      <c r="WIK155" s="14"/>
      <c r="WIL155" s="14"/>
      <c r="WIM155" s="14"/>
      <c r="WIN155" s="14"/>
      <c r="WIO155" s="14"/>
      <c r="WIP155" s="14"/>
      <c r="WIQ155" s="14"/>
      <c r="WIR155" s="14"/>
      <c r="WIS155" s="14"/>
      <c r="WIT155" s="14"/>
      <c r="WIU155" s="14"/>
      <c r="WIV155" s="14"/>
      <c r="WIW155" s="14"/>
      <c r="WIX155" s="14"/>
      <c r="WIY155" s="14"/>
      <c r="WIZ155" s="14"/>
      <c r="WJA155" s="14"/>
      <c r="WJB155" s="14"/>
      <c r="WJC155" s="14"/>
      <c r="WJD155" s="14"/>
      <c r="WJE155" s="14"/>
      <c r="WJF155" s="14"/>
      <c r="WJG155" s="14"/>
      <c r="WJH155" s="14"/>
      <c r="WJI155" s="14"/>
      <c r="WJJ155" s="14"/>
      <c r="WJK155" s="14"/>
      <c r="WJL155" s="14"/>
      <c r="WJM155" s="14"/>
      <c r="WJN155" s="14"/>
      <c r="WJO155" s="14"/>
      <c r="WJP155" s="14"/>
      <c r="WJQ155" s="14"/>
      <c r="WJR155" s="14"/>
      <c r="WJS155" s="14"/>
      <c r="WJT155" s="14"/>
      <c r="WJU155" s="14"/>
      <c r="WJV155" s="14"/>
      <c r="WJW155" s="14"/>
      <c r="WJX155" s="14"/>
      <c r="WJY155" s="14"/>
      <c r="WJZ155" s="14"/>
      <c r="WKA155" s="14"/>
      <c r="WKB155" s="14"/>
      <c r="WKC155" s="14"/>
      <c r="WKD155" s="14"/>
      <c r="WKE155" s="14"/>
      <c r="WKF155" s="14"/>
      <c r="WKG155" s="14"/>
      <c r="WKH155" s="14"/>
      <c r="WKI155" s="14"/>
      <c r="WKJ155" s="14"/>
      <c r="WKK155" s="14"/>
      <c r="WKL155" s="14"/>
      <c r="WKM155" s="14"/>
      <c r="WKN155" s="14"/>
      <c r="WKO155" s="14"/>
      <c r="WKP155" s="14"/>
      <c r="WKQ155" s="14"/>
      <c r="WKR155" s="14"/>
      <c r="WKS155" s="14"/>
      <c r="WKT155" s="14"/>
      <c r="WKU155" s="14"/>
      <c r="WKV155" s="14"/>
      <c r="WKW155" s="14"/>
      <c r="WKX155" s="14"/>
      <c r="WKY155" s="14"/>
      <c r="WKZ155" s="14"/>
      <c r="WLA155" s="14"/>
      <c r="WLB155" s="14"/>
      <c r="WLC155" s="14"/>
      <c r="WLD155" s="14"/>
      <c r="WLE155" s="14"/>
      <c r="WLF155" s="14"/>
      <c r="WLG155" s="14"/>
      <c r="WLH155" s="14"/>
      <c r="WLI155" s="14"/>
      <c r="WLJ155" s="14"/>
      <c r="WLK155" s="14"/>
      <c r="WLL155" s="14"/>
      <c r="WLM155" s="14"/>
      <c r="WLN155" s="14"/>
      <c r="WLO155" s="14"/>
      <c r="WLP155" s="14"/>
      <c r="WLQ155" s="14"/>
      <c r="WLR155" s="14"/>
      <c r="WLS155" s="14"/>
      <c r="WLT155" s="14"/>
      <c r="WLU155" s="14"/>
      <c r="WLV155" s="14"/>
      <c r="WLW155" s="14"/>
      <c r="WLX155" s="14"/>
      <c r="WLY155" s="14"/>
      <c r="WLZ155" s="14"/>
      <c r="WMA155" s="14"/>
      <c r="WMB155" s="14"/>
      <c r="WMC155" s="14"/>
      <c r="WMD155" s="14"/>
      <c r="WME155" s="14"/>
      <c r="WMF155" s="14"/>
      <c r="WMG155" s="14"/>
      <c r="WMH155" s="14"/>
      <c r="WMI155" s="14"/>
      <c r="WMJ155" s="14"/>
      <c r="WMK155" s="14"/>
      <c r="WML155" s="14"/>
      <c r="WMM155" s="14"/>
      <c r="WMN155" s="14"/>
      <c r="WMO155" s="14"/>
      <c r="WMP155" s="14"/>
      <c r="WMQ155" s="14"/>
      <c r="WMR155" s="14"/>
      <c r="WMS155" s="14"/>
      <c r="WMT155" s="14"/>
      <c r="WMU155" s="14"/>
      <c r="WMV155" s="14"/>
      <c r="WMW155" s="14"/>
      <c r="WMX155" s="14"/>
      <c r="WMY155" s="14"/>
      <c r="WMZ155" s="14"/>
      <c r="WNA155" s="14"/>
      <c r="WNB155" s="14"/>
      <c r="WNC155" s="14"/>
      <c r="WND155" s="14"/>
      <c r="WNE155" s="14"/>
      <c r="WNF155" s="14"/>
      <c r="WNG155" s="14"/>
      <c r="WNH155" s="14"/>
      <c r="WNI155" s="14"/>
      <c r="WNJ155" s="14"/>
      <c r="WNK155" s="14"/>
      <c r="WNL155" s="14"/>
      <c r="WNM155" s="14"/>
      <c r="WNN155" s="14"/>
      <c r="WNO155" s="14"/>
      <c r="WNP155" s="14"/>
      <c r="WNQ155" s="14"/>
      <c r="WNR155" s="14"/>
      <c r="WNS155" s="14"/>
      <c r="WNT155" s="14"/>
      <c r="WNU155" s="14"/>
      <c r="WNV155" s="14"/>
      <c r="WNW155" s="14"/>
      <c r="WNX155" s="14"/>
      <c r="WNY155" s="14"/>
      <c r="WNZ155" s="14"/>
      <c r="WOA155" s="14"/>
      <c r="WOB155" s="14"/>
      <c r="WOC155" s="14"/>
      <c r="WOD155" s="14"/>
      <c r="WOE155" s="14"/>
      <c r="WOF155" s="14"/>
      <c r="WOG155" s="14"/>
      <c r="WOH155" s="14"/>
      <c r="WOI155" s="14"/>
      <c r="WOJ155" s="14"/>
      <c r="WOK155" s="14"/>
      <c r="WOL155" s="14"/>
      <c r="WOM155" s="14"/>
      <c r="WON155" s="14"/>
      <c r="WOO155" s="14"/>
      <c r="WOP155" s="14"/>
      <c r="WOQ155" s="14"/>
      <c r="WOR155" s="14"/>
      <c r="WOS155" s="14"/>
      <c r="WOT155" s="14"/>
      <c r="WOU155" s="14"/>
      <c r="WOV155" s="14"/>
      <c r="WOW155" s="14"/>
      <c r="WOX155" s="14"/>
      <c r="WOY155" s="14"/>
      <c r="WOZ155" s="14"/>
      <c r="WPA155" s="14"/>
      <c r="WPB155" s="14"/>
      <c r="WPC155" s="14"/>
      <c r="WPD155" s="14"/>
      <c r="WPE155" s="14"/>
      <c r="WPF155" s="14"/>
      <c r="WPG155" s="14"/>
      <c r="WPH155" s="14"/>
      <c r="WPI155" s="14"/>
      <c r="WPJ155" s="14"/>
      <c r="WPK155" s="14"/>
      <c r="WPL155" s="14"/>
      <c r="WPM155" s="14"/>
      <c r="WPN155" s="14"/>
      <c r="WPO155" s="14"/>
      <c r="WPP155" s="14"/>
      <c r="WPQ155" s="14"/>
      <c r="WPR155" s="14"/>
      <c r="WPS155" s="14"/>
      <c r="WPT155" s="14"/>
      <c r="WPU155" s="14"/>
      <c r="WPV155" s="14"/>
      <c r="WPW155" s="14"/>
      <c r="WPX155" s="14"/>
      <c r="WPY155" s="14"/>
      <c r="WPZ155" s="14"/>
      <c r="WQA155" s="14"/>
      <c r="WQB155" s="14"/>
      <c r="WQC155" s="14"/>
      <c r="WQD155" s="14"/>
      <c r="WQE155" s="14"/>
      <c r="WQF155" s="14"/>
      <c r="WQG155" s="14"/>
      <c r="WQH155" s="14"/>
      <c r="WQI155" s="14"/>
      <c r="WQJ155" s="14"/>
      <c r="WQK155" s="14"/>
      <c r="WQL155" s="14"/>
      <c r="WQM155" s="14"/>
      <c r="WQN155" s="14"/>
      <c r="WQO155" s="14"/>
      <c r="WQP155" s="14"/>
      <c r="WQQ155" s="14"/>
      <c r="WQR155" s="14"/>
      <c r="WQS155" s="14"/>
      <c r="WQT155" s="14"/>
      <c r="WQU155" s="14"/>
      <c r="WQV155" s="14"/>
      <c r="WQW155" s="14"/>
      <c r="WQX155" s="14"/>
      <c r="WQY155" s="14"/>
      <c r="WQZ155" s="14"/>
      <c r="WRA155" s="14"/>
      <c r="WRB155" s="14"/>
      <c r="WRC155" s="14"/>
      <c r="WRD155" s="14"/>
      <c r="WRE155" s="14"/>
      <c r="WRF155" s="14"/>
      <c r="WRG155" s="14"/>
      <c r="WRH155" s="14"/>
      <c r="WRI155" s="14"/>
      <c r="WRJ155" s="14"/>
      <c r="WRK155" s="14"/>
      <c r="WRL155" s="14"/>
      <c r="WRM155" s="14"/>
      <c r="WRN155" s="14"/>
      <c r="WRO155" s="14"/>
      <c r="WRP155" s="14"/>
      <c r="WRQ155" s="14"/>
      <c r="WRR155" s="14"/>
      <c r="WRS155" s="14"/>
      <c r="WRT155" s="14"/>
      <c r="WRU155" s="14"/>
      <c r="WRV155" s="14"/>
      <c r="WRW155" s="14"/>
      <c r="WRX155" s="14"/>
      <c r="WRY155" s="14"/>
      <c r="WRZ155" s="14"/>
      <c r="WSA155" s="14"/>
      <c r="WSB155" s="14"/>
      <c r="WSC155" s="14"/>
      <c r="WSD155" s="14"/>
      <c r="WSE155" s="14"/>
      <c r="WSF155" s="14"/>
      <c r="WSG155" s="14"/>
      <c r="WSH155" s="14"/>
      <c r="WSI155" s="14"/>
      <c r="WSJ155" s="14"/>
      <c r="WSK155" s="14"/>
      <c r="WSL155" s="14"/>
      <c r="WSM155" s="14"/>
      <c r="WSN155" s="14"/>
      <c r="WSO155" s="14"/>
      <c r="WSP155" s="14"/>
      <c r="WSQ155" s="14"/>
      <c r="WSR155" s="14"/>
      <c r="WSS155" s="14"/>
      <c r="WST155" s="14"/>
      <c r="WSU155" s="14"/>
      <c r="WSV155" s="14"/>
      <c r="WSW155" s="14"/>
      <c r="WSX155" s="14"/>
      <c r="WSY155" s="14"/>
      <c r="WSZ155" s="14"/>
      <c r="WTA155" s="14"/>
      <c r="WTB155" s="14"/>
      <c r="WTC155" s="14"/>
      <c r="WTD155" s="14"/>
      <c r="WTE155" s="14"/>
      <c r="WTF155" s="14"/>
      <c r="WTG155" s="14"/>
      <c r="WTH155" s="14"/>
      <c r="WTI155" s="14"/>
      <c r="WTJ155" s="14"/>
      <c r="WTK155" s="14"/>
      <c r="WTL155" s="14"/>
      <c r="WTM155" s="14"/>
      <c r="WTN155" s="14"/>
      <c r="WTO155" s="14"/>
      <c r="WTP155" s="14"/>
      <c r="WTQ155" s="14"/>
      <c r="WTR155" s="14"/>
      <c r="WTS155" s="14"/>
      <c r="WTT155" s="14"/>
      <c r="WTU155" s="14"/>
      <c r="WTV155" s="14"/>
      <c r="WTW155" s="14"/>
      <c r="WTX155" s="14"/>
      <c r="WTY155" s="14"/>
      <c r="WTZ155" s="14"/>
      <c r="WUA155" s="14"/>
      <c r="WUB155" s="14"/>
      <c r="WUC155" s="14"/>
      <c r="WUD155" s="14"/>
      <c r="WUE155" s="14"/>
      <c r="WUF155" s="14"/>
      <c r="WUG155" s="14"/>
      <c r="WUH155" s="14"/>
      <c r="WUI155" s="14"/>
      <c r="WUJ155" s="14"/>
      <c r="WUK155" s="14"/>
      <c r="WUL155" s="14"/>
      <c r="WUM155" s="14"/>
      <c r="WUN155" s="14"/>
      <c r="WUO155" s="14"/>
      <c r="WUP155" s="14"/>
      <c r="WUQ155" s="14"/>
      <c r="WUR155" s="14"/>
      <c r="WUS155" s="14"/>
      <c r="WUT155" s="14"/>
      <c r="WUU155" s="14"/>
      <c r="WUV155" s="14"/>
      <c r="WUW155" s="14"/>
      <c r="WUX155" s="14"/>
      <c r="WUY155" s="14"/>
      <c r="WUZ155" s="14"/>
      <c r="WVA155" s="14"/>
      <c r="WVB155" s="14"/>
      <c r="WVC155" s="14"/>
      <c r="WVD155" s="14"/>
      <c r="WVE155" s="14"/>
      <c r="WVF155" s="14"/>
      <c r="WVG155" s="14"/>
      <c r="WVH155" s="14"/>
      <c r="WVI155" s="14"/>
      <c r="WVJ155" s="14"/>
      <c r="WVK155" s="14"/>
      <c r="WVL155" s="14"/>
      <c r="WVM155" s="14"/>
      <c r="WVN155" s="14"/>
      <c r="WVO155" s="14"/>
      <c r="WVP155" s="14"/>
      <c r="WVQ155" s="14"/>
      <c r="WVR155" s="14"/>
      <c r="WVS155" s="14"/>
      <c r="WVT155" s="14"/>
      <c r="WVU155" s="14"/>
      <c r="WVV155" s="14"/>
      <c r="WVW155" s="14"/>
      <c r="WVX155" s="14"/>
      <c r="WVY155" s="14"/>
      <c r="WVZ155" s="14"/>
      <c r="WWA155" s="14"/>
      <c r="WWB155" s="14"/>
      <c r="WWC155" s="14"/>
      <c r="WWD155" s="14"/>
      <c r="WWE155" s="14"/>
      <c r="WWF155" s="14"/>
      <c r="WWG155" s="14"/>
      <c r="WWH155" s="14"/>
      <c r="WWI155" s="14"/>
      <c r="WWJ155" s="14"/>
      <c r="WWK155" s="14"/>
      <c r="WWL155" s="14"/>
      <c r="WWM155" s="14"/>
      <c r="WWN155" s="14"/>
      <c r="WWO155" s="14"/>
      <c r="WWP155" s="14"/>
      <c r="WWQ155" s="14"/>
      <c r="WWR155" s="14"/>
      <c r="WWS155" s="14"/>
      <c r="WWT155" s="14"/>
      <c r="WWU155" s="14"/>
      <c r="WWV155" s="14"/>
      <c r="WWW155" s="14"/>
      <c r="WWX155" s="14"/>
      <c r="WWY155" s="14"/>
      <c r="WWZ155" s="14"/>
      <c r="WXA155" s="14"/>
      <c r="WXB155" s="14"/>
      <c r="WXC155" s="14"/>
      <c r="WXD155" s="14"/>
      <c r="WXE155" s="14"/>
      <c r="WXF155" s="14"/>
      <c r="WXG155" s="14"/>
      <c r="WXH155" s="14"/>
      <c r="WXI155" s="14"/>
      <c r="WXJ155" s="14"/>
      <c r="WXK155" s="14"/>
      <c r="WXL155" s="14"/>
      <c r="WXM155" s="14"/>
      <c r="WXN155" s="14"/>
      <c r="WXO155" s="14"/>
      <c r="WXP155" s="14"/>
      <c r="WXQ155" s="14"/>
      <c r="WXR155" s="14"/>
      <c r="WXS155" s="14"/>
      <c r="WXT155" s="14"/>
      <c r="WXU155" s="14"/>
      <c r="WXV155" s="14"/>
      <c r="WXW155" s="14"/>
      <c r="WXX155" s="14"/>
      <c r="WXY155" s="14"/>
      <c r="WXZ155" s="14"/>
      <c r="WYA155" s="14"/>
      <c r="WYB155" s="14"/>
      <c r="WYC155" s="14"/>
      <c r="WYD155" s="14"/>
      <c r="WYE155" s="14"/>
      <c r="WYF155" s="14"/>
      <c r="WYG155" s="14"/>
      <c r="WYH155" s="14"/>
      <c r="WYI155" s="14"/>
      <c r="WYJ155" s="14"/>
      <c r="WYK155" s="14"/>
      <c r="WYL155" s="14"/>
      <c r="WYM155" s="14"/>
      <c r="WYN155" s="14"/>
      <c r="WYO155" s="14"/>
      <c r="WYP155" s="14"/>
      <c r="WYQ155" s="14"/>
      <c r="WYR155" s="14"/>
      <c r="WYS155" s="14"/>
      <c r="WYT155" s="14"/>
      <c r="WYU155" s="14"/>
      <c r="WYV155" s="14"/>
      <c r="WYW155" s="14"/>
      <c r="WYX155" s="14"/>
      <c r="WYY155" s="14"/>
      <c r="WYZ155" s="14"/>
      <c r="WZA155" s="14"/>
      <c r="WZB155" s="14"/>
      <c r="WZC155" s="14"/>
      <c r="WZD155" s="14"/>
      <c r="WZE155" s="14"/>
      <c r="WZF155" s="14"/>
      <c r="WZG155" s="14"/>
      <c r="WZH155" s="14"/>
      <c r="WZI155" s="14"/>
      <c r="WZJ155" s="14"/>
      <c r="WZK155" s="14"/>
      <c r="WZL155" s="14"/>
      <c r="WZM155" s="14"/>
      <c r="WZN155" s="14"/>
      <c r="WZO155" s="14"/>
      <c r="WZP155" s="14"/>
      <c r="WZQ155" s="14"/>
      <c r="WZR155" s="14"/>
      <c r="WZS155" s="14"/>
      <c r="WZT155" s="14"/>
      <c r="WZU155" s="14"/>
      <c r="WZV155" s="14"/>
      <c r="WZW155" s="14"/>
      <c r="WZX155" s="14"/>
      <c r="WZY155" s="14"/>
      <c r="WZZ155" s="14"/>
      <c r="XAA155" s="14"/>
      <c r="XAB155" s="14"/>
      <c r="XAC155" s="14"/>
      <c r="XAD155" s="14"/>
      <c r="XAE155" s="14"/>
      <c r="XAF155" s="14"/>
      <c r="XAG155" s="14"/>
      <c r="XAH155" s="14"/>
      <c r="XAI155" s="14"/>
      <c r="XAJ155" s="14"/>
      <c r="XAK155" s="14"/>
      <c r="XAL155" s="14"/>
      <c r="XAM155" s="14"/>
      <c r="XAN155" s="14"/>
      <c r="XAO155" s="14"/>
      <c r="XAP155" s="14"/>
      <c r="XAQ155" s="14"/>
      <c r="XAR155" s="14"/>
      <c r="XAS155" s="14"/>
      <c r="XAT155" s="14"/>
      <c r="XAU155" s="14"/>
      <c r="XAV155" s="14"/>
      <c r="XAW155" s="14"/>
      <c r="XAX155" s="14"/>
      <c r="XAY155" s="14"/>
      <c r="XAZ155" s="14"/>
      <c r="XBA155" s="14"/>
      <c r="XBB155" s="14"/>
      <c r="XBC155" s="14"/>
      <c r="XBD155" s="14"/>
      <c r="XBE155" s="14"/>
      <c r="XBF155" s="14"/>
      <c r="XBG155" s="14"/>
      <c r="XBH155" s="14"/>
      <c r="XBI155" s="14"/>
      <c r="XBJ155" s="14"/>
      <c r="XBK155" s="14"/>
      <c r="XBL155" s="14"/>
      <c r="XBM155" s="14"/>
      <c r="XBN155" s="14"/>
      <c r="XBO155" s="14"/>
      <c r="XBP155" s="14"/>
      <c r="XBQ155" s="14"/>
      <c r="XBR155" s="14"/>
      <c r="XBS155" s="14"/>
      <c r="XBT155" s="14"/>
      <c r="XBU155" s="14"/>
      <c r="XBV155" s="14"/>
      <c r="XBW155" s="14"/>
      <c r="XBX155" s="14"/>
      <c r="XBY155" s="14"/>
      <c r="XBZ155" s="14"/>
      <c r="XCA155" s="14"/>
      <c r="XCB155" s="14"/>
      <c r="XCC155" s="14"/>
      <c r="XCD155" s="14"/>
      <c r="XCE155" s="14"/>
      <c r="XCF155" s="14"/>
      <c r="XCG155" s="14"/>
      <c r="XCH155" s="14"/>
      <c r="XCI155" s="14"/>
      <c r="XCJ155" s="14"/>
      <c r="XCK155" s="14"/>
      <c r="XCL155" s="14"/>
      <c r="XCM155" s="14"/>
      <c r="XCN155" s="14"/>
      <c r="XCO155" s="14"/>
      <c r="XCP155" s="14"/>
      <c r="XCQ155" s="14"/>
      <c r="XCR155" s="14"/>
      <c r="XCS155" s="14"/>
      <c r="XCT155" s="14"/>
      <c r="XCU155" s="14"/>
      <c r="XCV155" s="14"/>
      <c r="XCW155" s="14"/>
      <c r="XCX155" s="14"/>
      <c r="XCY155" s="14"/>
      <c r="XCZ155" s="14"/>
      <c r="XDA155" s="14"/>
      <c r="XDB155" s="14"/>
      <c r="XDC155" s="14"/>
      <c r="XDD155" s="14"/>
      <c r="XDE155" s="14"/>
      <c r="XDF155" s="14"/>
      <c r="XDG155" s="14"/>
      <c r="XDH155" s="14"/>
      <c r="XDI155" s="14"/>
      <c r="XDJ155" s="14"/>
      <c r="XDK155" s="14"/>
      <c r="XDL155" s="14"/>
      <c r="XDM155" s="14"/>
      <c r="XDN155" s="14"/>
      <c r="XDO155" s="14"/>
      <c r="XDP155" s="14"/>
      <c r="XDQ155" s="14"/>
      <c r="XDR155" s="14"/>
      <c r="XDS155" s="14"/>
      <c r="XDT155" s="14"/>
      <c r="XDU155" s="14"/>
      <c r="XDV155" s="14"/>
      <c r="XDW155" s="14"/>
      <c r="XDX155" s="14"/>
      <c r="XDY155" s="14"/>
      <c r="XDZ155" s="14"/>
      <c r="XEA155" s="14"/>
      <c r="XEB155" s="14"/>
      <c r="XEC155" s="14"/>
      <c r="XED155" s="14"/>
      <c r="XEE155" s="14"/>
      <c r="XEF155" s="14"/>
      <c r="XEG155" s="14"/>
      <c r="XEH155" s="14"/>
      <c r="XEI155" s="14"/>
      <c r="XEJ155" s="14"/>
      <c r="XEK155" s="14"/>
      <c r="XEL155" s="14"/>
      <c r="XEM155" s="14"/>
      <c r="XEN155" s="14"/>
      <c r="XEO155" s="14"/>
      <c r="XEP155" s="14"/>
      <c r="XEQ155" s="14"/>
      <c r="XER155" s="14"/>
      <c r="XES155" s="14"/>
      <c r="XET155" s="14"/>
      <c r="XEU155" s="14"/>
      <c r="XEV155" s="14"/>
    </row>
    <row r="156" spans="1:16376" x14ac:dyDescent="0.3">
      <c r="A156" s="5" t="str">
        <f>"0411686"</f>
        <v>0411686</v>
      </c>
      <c r="B156" s="6" t="s">
        <v>93</v>
      </c>
      <c r="C156" s="26" t="str">
        <f>"087692001270"</f>
        <v>087692001270</v>
      </c>
      <c r="D156" s="5" t="s">
        <v>37</v>
      </c>
      <c r="E156" s="45" t="s">
        <v>94</v>
      </c>
      <c r="F156" s="8">
        <v>42496</v>
      </c>
    </row>
    <row r="157" spans="1:16376" x14ac:dyDescent="0.3">
      <c r="A157" s="5" t="str">
        <f>"0679852"</f>
        <v>0679852</v>
      </c>
      <c r="B157" s="6" t="s">
        <v>90</v>
      </c>
      <c r="C157" s="26" t="str">
        <f>"056910501106"</f>
        <v>056910501106</v>
      </c>
      <c r="D157" s="5" t="s">
        <v>34</v>
      </c>
      <c r="E157" s="16" t="s">
        <v>92</v>
      </c>
      <c r="F157" s="8">
        <v>42496</v>
      </c>
    </row>
    <row r="158" spans="1:16376" x14ac:dyDescent="0.3">
      <c r="A158" s="30">
        <v>367938</v>
      </c>
      <c r="B158" s="10" t="s">
        <v>45</v>
      </c>
      <c r="C158" s="12">
        <v>62067201509</v>
      </c>
      <c r="D158" s="18" t="s">
        <v>42</v>
      </c>
      <c r="E158" s="16" t="s">
        <v>91</v>
      </c>
      <c r="F158" s="8">
        <v>42496</v>
      </c>
    </row>
    <row r="159" spans="1:16376" x14ac:dyDescent="0.3">
      <c r="A159" s="5" t="str">
        <f>"0679852"</f>
        <v>0679852</v>
      </c>
      <c r="B159" s="6" t="s">
        <v>90</v>
      </c>
      <c r="C159" s="26" t="str">
        <f>"056910501106"</f>
        <v>056910501106</v>
      </c>
      <c r="D159" s="5" t="s">
        <v>34</v>
      </c>
      <c r="E159" s="6" t="s">
        <v>41</v>
      </c>
      <c r="F159" s="8">
        <v>42488</v>
      </c>
    </row>
    <row r="160" spans="1:16376" x14ac:dyDescent="0.3">
      <c r="A160" s="5" t="str">
        <f>"0336990"</f>
        <v>0336990</v>
      </c>
      <c r="B160" s="6" t="s">
        <v>87</v>
      </c>
      <c r="C160" s="26" t="str">
        <f>"627843243472"</f>
        <v>627843243472</v>
      </c>
      <c r="D160" s="5" t="s">
        <v>25</v>
      </c>
      <c r="E160" s="6" t="s">
        <v>88</v>
      </c>
      <c r="F160" s="8">
        <v>42486</v>
      </c>
    </row>
    <row r="161" spans="1:6" x14ac:dyDescent="0.3">
      <c r="A161" s="5" t="str">
        <f>"0286633"</f>
        <v>0286633</v>
      </c>
      <c r="B161" s="6" t="s">
        <v>89</v>
      </c>
      <c r="C161" s="26" t="str">
        <f>"627843141778"</f>
        <v>627843141778</v>
      </c>
      <c r="D161" s="5" t="s">
        <v>25</v>
      </c>
      <c r="E161" s="6" t="s">
        <v>88</v>
      </c>
      <c r="F161" s="8">
        <v>42486</v>
      </c>
    </row>
    <row r="162" spans="1:6" x14ac:dyDescent="0.3">
      <c r="A162" s="5" t="s">
        <v>73</v>
      </c>
      <c r="B162" s="6" t="s">
        <v>74</v>
      </c>
      <c r="C162" s="26" t="s">
        <v>75</v>
      </c>
      <c r="D162" s="5" t="s">
        <v>76</v>
      </c>
      <c r="E162" s="6" t="s">
        <v>86</v>
      </c>
      <c r="F162" s="8">
        <v>42483</v>
      </c>
    </row>
    <row r="163" spans="1:6" x14ac:dyDescent="0.3">
      <c r="A163" s="5" t="s">
        <v>77</v>
      </c>
      <c r="B163" s="6" t="s">
        <v>78</v>
      </c>
      <c r="C163" s="26" t="s">
        <v>79</v>
      </c>
      <c r="D163" s="5" t="s">
        <v>76</v>
      </c>
      <c r="E163" s="6" t="s">
        <v>86</v>
      </c>
      <c r="F163" s="8">
        <v>42483</v>
      </c>
    </row>
    <row r="164" spans="1:6" x14ac:dyDescent="0.3">
      <c r="A164" s="5" t="s">
        <v>80</v>
      </c>
      <c r="B164" s="6" t="s">
        <v>81</v>
      </c>
      <c r="C164" s="26" t="s">
        <v>82</v>
      </c>
      <c r="D164" s="5" t="s">
        <v>76</v>
      </c>
      <c r="E164" s="6" t="s">
        <v>86</v>
      </c>
      <c r="F164" s="8">
        <v>42483</v>
      </c>
    </row>
    <row r="165" spans="1:6" ht="13.7" customHeight="1" x14ac:dyDescent="0.3">
      <c r="A165" s="5" t="s">
        <v>83</v>
      </c>
      <c r="B165" s="6" t="s">
        <v>84</v>
      </c>
      <c r="C165" s="26" t="s">
        <v>85</v>
      </c>
      <c r="D165" s="5" t="s">
        <v>76</v>
      </c>
      <c r="E165" s="6" t="s">
        <v>86</v>
      </c>
      <c r="F165" s="8">
        <v>42483</v>
      </c>
    </row>
    <row r="166" spans="1:6" x14ac:dyDescent="0.3">
      <c r="A166" s="33">
        <v>362426</v>
      </c>
      <c r="B166" s="10" t="s">
        <v>71</v>
      </c>
      <c r="C166" s="34" t="s">
        <v>72</v>
      </c>
      <c r="D166" s="19" t="s">
        <v>25</v>
      </c>
      <c r="E166" s="16" t="s">
        <v>41</v>
      </c>
      <c r="F166" s="8">
        <v>42478</v>
      </c>
    </row>
    <row r="167" spans="1:6" x14ac:dyDescent="0.3">
      <c r="A167" s="30">
        <v>367938</v>
      </c>
      <c r="B167" s="10" t="s">
        <v>45</v>
      </c>
      <c r="C167" s="12">
        <v>62067201509</v>
      </c>
      <c r="D167" s="18" t="s">
        <v>42</v>
      </c>
      <c r="E167" s="16" t="s">
        <v>41</v>
      </c>
      <c r="F167" s="8">
        <v>42478</v>
      </c>
    </row>
    <row r="168" spans="1:6" x14ac:dyDescent="0.3">
      <c r="A168" s="5" t="s">
        <v>65</v>
      </c>
      <c r="B168" s="6" t="s">
        <v>46</v>
      </c>
      <c r="C168" s="26" t="s">
        <v>68</v>
      </c>
      <c r="D168" s="5" t="s">
        <v>37</v>
      </c>
      <c r="E168" s="6" t="s">
        <v>70</v>
      </c>
      <c r="F168" s="8">
        <v>42478</v>
      </c>
    </row>
    <row r="169" spans="1:6" x14ac:dyDescent="0.3">
      <c r="A169" s="5" t="s">
        <v>66</v>
      </c>
      <c r="B169" s="6" t="s">
        <v>67</v>
      </c>
      <c r="C169" s="26" t="s">
        <v>69</v>
      </c>
      <c r="D169" s="5" t="s">
        <v>37</v>
      </c>
      <c r="E169" s="6" t="s">
        <v>70</v>
      </c>
      <c r="F169" s="8">
        <v>42478</v>
      </c>
    </row>
    <row r="170" spans="1:6" x14ac:dyDescent="0.3">
      <c r="A170" s="5">
        <v>376780</v>
      </c>
      <c r="B170" s="6" t="s">
        <v>59</v>
      </c>
      <c r="C170" s="26" t="str">
        <f>"8714800015271"</f>
        <v>8714800015271</v>
      </c>
      <c r="D170" s="5" t="s">
        <v>60</v>
      </c>
      <c r="E170" s="6" t="s">
        <v>61</v>
      </c>
      <c r="F170" s="8">
        <v>42471</v>
      </c>
    </row>
    <row r="171" spans="1:6" x14ac:dyDescent="0.3">
      <c r="A171" s="5">
        <v>376798</v>
      </c>
      <c r="B171" s="6" t="s">
        <v>62</v>
      </c>
      <c r="C171" s="26" t="str">
        <f>"8714800027199"</f>
        <v>8714800027199</v>
      </c>
      <c r="D171" s="5" t="s">
        <v>60</v>
      </c>
      <c r="E171" s="6" t="s">
        <v>61</v>
      </c>
      <c r="F171" s="8">
        <v>42471</v>
      </c>
    </row>
    <row r="172" spans="1:6" x14ac:dyDescent="0.3">
      <c r="A172" s="5">
        <v>384677</v>
      </c>
      <c r="B172" s="6" t="s">
        <v>63</v>
      </c>
      <c r="C172" s="26" t="str">
        <f>"025078086015"</f>
        <v>025078086015</v>
      </c>
      <c r="D172" s="5" t="s">
        <v>48</v>
      </c>
      <c r="E172" s="6" t="s">
        <v>61</v>
      </c>
      <c r="F172" s="8">
        <v>42471</v>
      </c>
    </row>
    <row r="173" spans="1:6" x14ac:dyDescent="0.3">
      <c r="A173" s="5">
        <v>382101</v>
      </c>
      <c r="B173" s="6" t="s">
        <v>64</v>
      </c>
      <c r="C173" s="26">
        <v>4053400279534</v>
      </c>
      <c r="D173" s="5" t="s">
        <v>60</v>
      </c>
      <c r="E173" s="6" t="s">
        <v>61</v>
      </c>
      <c r="F173" s="8">
        <v>42469</v>
      </c>
    </row>
    <row r="174" spans="1:6" x14ac:dyDescent="0.3">
      <c r="A174" s="5" t="s">
        <v>54</v>
      </c>
      <c r="B174" s="6" t="s">
        <v>55</v>
      </c>
      <c r="C174" s="26" t="str">
        <f>"779446200625"</f>
        <v>779446200625</v>
      </c>
      <c r="D174" s="5" t="s">
        <v>25</v>
      </c>
      <c r="E174" s="21" t="s">
        <v>56</v>
      </c>
      <c r="F174" s="8">
        <v>42446</v>
      </c>
    </row>
    <row r="175" spans="1:6" ht="27.95" x14ac:dyDescent="0.3">
      <c r="A175" s="5">
        <v>367938</v>
      </c>
      <c r="B175" s="6" t="s">
        <v>51</v>
      </c>
      <c r="C175" s="26">
        <v>62067201509</v>
      </c>
      <c r="D175" s="5" t="s">
        <v>52</v>
      </c>
      <c r="E175" s="31" t="s">
        <v>50</v>
      </c>
      <c r="F175" s="8">
        <v>42446</v>
      </c>
    </row>
    <row r="176" spans="1:6" x14ac:dyDescent="0.3">
      <c r="A176" s="5" t="str">
        <f>"229583"</f>
        <v>229583</v>
      </c>
      <c r="B176" s="6" t="s">
        <v>57</v>
      </c>
      <c r="C176" s="26" t="str">
        <f>"851621000043"</f>
        <v>851621000043</v>
      </c>
      <c r="D176" s="5" t="s">
        <v>29</v>
      </c>
      <c r="E176" s="32" t="s">
        <v>58</v>
      </c>
      <c r="F176" s="8">
        <v>42445</v>
      </c>
    </row>
    <row r="177" spans="1:6" x14ac:dyDescent="0.3">
      <c r="A177" s="5">
        <v>363465</v>
      </c>
      <c r="B177" s="6" t="s">
        <v>46</v>
      </c>
      <c r="C177" s="26" t="str">
        <f>"186360000024"</f>
        <v>186360000024</v>
      </c>
      <c r="D177" s="5" t="s">
        <v>37</v>
      </c>
      <c r="E177" s="6" t="s">
        <v>53</v>
      </c>
      <c r="F177" s="8">
        <v>42443</v>
      </c>
    </row>
    <row r="178" spans="1:6" x14ac:dyDescent="0.3">
      <c r="A178" s="5" t="str">
        <f>"0228726"</f>
        <v>0228726</v>
      </c>
      <c r="B178" s="6" t="s">
        <v>47</v>
      </c>
      <c r="C178" s="26" t="str">
        <f>"627843091066"</f>
        <v>627843091066</v>
      </c>
      <c r="D178" s="5" t="s">
        <v>48</v>
      </c>
      <c r="E178" s="6" t="s">
        <v>49</v>
      </c>
      <c r="F178" s="8">
        <v>42438</v>
      </c>
    </row>
    <row r="179" spans="1:6" x14ac:dyDescent="0.3">
      <c r="A179" s="30">
        <v>367938</v>
      </c>
      <c r="B179" s="10" t="s">
        <v>45</v>
      </c>
      <c r="C179" s="12">
        <v>62067201509</v>
      </c>
      <c r="D179" s="18" t="s">
        <v>42</v>
      </c>
      <c r="E179" s="16" t="s">
        <v>41</v>
      </c>
      <c r="F179" s="8">
        <v>42431</v>
      </c>
    </row>
    <row r="180" spans="1:6" x14ac:dyDescent="0.3">
      <c r="A180" s="19">
        <v>449058</v>
      </c>
      <c r="B180" s="10" t="s">
        <v>39</v>
      </c>
      <c r="C180" s="12" t="str">
        <f>"627843456285"</f>
        <v>627843456285</v>
      </c>
      <c r="D180" s="18" t="s">
        <v>43</v>
      </c>
      <c r="E180" s="16" t="s">
        <v>5</v>
      </c>
      <c r="F180" s="8">
        <v>42430</v>
      </c>
    </row>
    <row r="181" spans="1:6" x14ac:dyDescent="0.3">
      <c r="A181" s="19">
        <v>449066</v>
      </c>
      <c r="B181" s="10" t="s">
        <v>40</v>
      </c>
      <c r="C181" s="12" t="str">
        <f>"627843456315"</f>
        <v>627843456315</v>
      </c>
      <c r="D181" s="18" t="s">
        <v>43</v>
      </c>
      <c r="E181" s="16" t="s">
        <v>5</v>
      </c>
      <c r="F181" s="8">
        <v>42430</v>
      </c>
    </row>
    <row r="182" spans="1:6" ht="27.95" x14ac:dyDescent="0.3">
      <c r="A182" s="18">
        <v>123315</v>
      </c>
      <c r="B182" s="20" t="s">
        <v>31</v>
      </c>
      <c r="C182" s="13">
        <v>5410228197362</v>
      </c>
      <c r="D182" s="18" t="s">
        <v>44</v>
      </c>
      <c r="E182" s="16" t="s">
        <v>32</v>
      </c>
      <c r="F182" s="8">
        <v>42411</v>
      </c>
    </row>
    <row r="183" spans="1:6" ht="27.95" x14ac:dyDescent="0.3">
      <c r="A183" s="19">
        <v>550764</v>
      </c>
      <c r="B183" s="10" t="s">
        <v>33</v>
      </c>
      <c r="C183" s="12" t="str">
        <f>"080660956053"</f>
        <v>080660956053</v>
      </c>
      <c r="D183" s="19" t="s">
        <v>34</v>
      </c>
      <c r="E183" s="17" t="s">
        <v>35</v>
      </c>
      <c r="F183" s="8">
        <v>42411</v>
      </c>
    </row>
    <row r="184" spans="1:6" x14ac:dyDescent="0.3">
      <c r="A184" s="5">
        <v>449546</v>
      </c>
      <c r="B184" s="10" t="s">
        <v>24</v>
      </c>
      <c r="C184" s="12" t="str">
        <f>"062067318535"</f>
        <v>062067318535</v>
      </c>
      <c r="D184" s="19" t="s">
        <v>25</v>
      </c>
      <c r="E184" s="6" t="s">
        <v>5</v>
      </c>
      <c r="F184" s="8">
        <v>42410</v>
      </c>
    </row>
    <row r="185" spans="1:6" ht="27.95" x14ac:dyDescent="0.3">
      <c r="A185" s="5">
        <v>180810</v>
      </c>
      <c r="B185" s="10" t="s">
        <v>26</v>
      </c>
      <c r="C185" s="12" t="str">
        <f>"01841525"</f>
        <v>01841525</v>
      </c>
      <c r="D185" s="19" t="s">
        <v>25</v>
      </c>
      <c r="E185" s="9" t="s">
        <v>27</v>
      </c>
      <c r="F185" s="8">
        <v>42410</v>
      </c>
    </row>
    <row r="186" spans="1:6" ht="27.95" x14ac:dyDescent="0.3">
      <c r="A186" s="5">
        <v>128348</v>
      </c>
      <c r="B186" s="10" t="s">
        <v>28</v>
      </c>
      <c r="C186" s="12" t="str">
        <f>"018200149917"</f>
        <v>018200149917</v>
      </c>
      <c r="D186" s="19" t="s">
        <v>29</v>
      </c>
      <c r="E186" s="11" t="s">
        <v>30</v>
      </c>
      <c r="F186" s="8">
        <v>42410</v>
      </c>
    </row>
    <row r="187" spans="1:6" x14ac:dyDescent="0.3">
      <c r="A187" s="5">
        <v>904144</v>
      </c>
      <c r="B187" s="10" t="s">
        <v>36</v>
      </c>
      <c r="C187" s="25">
        <v>56327073234</v>
      </c>
      <c r="D187" s="19" t="s">
        <v>37</v>
      </c>
      <c r="E187" s="21" t="s">
        <v>38</v>
      </c>
      <c r="F187" s="8">
        <v>42410</v>
      </c>
    </row>
    <row r="188" spans="1:6" x14ac:dyDescent="0.3">
      <c r="A188" s="5">
        <v>586610</v>
      </c>
      <c r="B188" s="6" t="s">
        <v>12</v>
      </c>
      <c r="C188" s="7" t="str">
        <f>"056910401703"</f>
        <v>056910401703</v>
      </c>
      <c r="D188" s="5" t="s">
        <v>11</v>
      </c>
      <c r="E188" s="6" t="s">
        <v>13</v>
      </c>
      <c r="F188" s="8">
        <v>42408</v>
      </c>
    </row>
    <row r="189" spans="1:6" x14ac:dyDescent="0.3">
      <c r="A189" s="5">
        <v>190439</v>
      </c>
      <c r="B189" s="6" t="s">
        <v>19</v>
      </c>
      <c r="C189" s="26">
        <v>621433006041</v>
      </c>
      <c r="D189" s="5" t="s">
        <v>9</v>
      </c>
      <c r="E189" s="6" t="s">
        <v>14</v>
      </c>
      <c r="F189" s="8">
        <v>42408</v>
      </c>
    </row>
    <row r="190" spans="1:6" x14ac:dyDescent="0.3">
      <c r="A190" s="5">
        <v>65011</v>
      </c>
      <c r="B190" s="6" t="s">
        <v>21</v>
      </c>
      <c r="C190" s="26">
        <v>621433005044</v>
      </c>
      <c r="D190" s="5" t="s">
        <v>9</v>
      </c>
      <c r="E190" s="6" t="s">
        <v>14</v>
      </c>
      <c r="F190" s="8">
        <v>42408</v>
      </c>
    </row>
    <row r="191" spans="1:6" x14ac:dyDescent="0.3">
      <c r="A191" s="5">
        <v>687103</v>
      </c>
      <c r="B191" s="6" t="s">
        <v>20</v>
      </c>
      <c r="C191" s="26">
        <v>621433006003</v>
      </c>
      <c r="D191" s="5" t="s">
        <v>18</v>
      </c>
      <c r="E191" s="6" t="s">
        <v>15</v>
      </c>
      <c r="F191" s="8">
        <v>42408</v>
      </c>
    </row>
    <row r="192" spans="1:6" x14ac:dyDescent="0.3">
      <c r="A192" s="5">
        <v>450247</v>
      </c>
      <c r="B192" s="6" t="s">
        <v>22</v>
      </c>
      <c r="C192" s="26">
        <v>621433005006</v>
      </c>
      <c r="D192" s="5" t="s">
        <v>18</v>
      </c>
      <c r="E192" s="6" t="s">
        <v>15</v>
      </c>
      <c r="F192" s="8">
        <v>42408</v>
      </c>
    </row>
    <row r="193" spans="1:6" x14ac:dyDescent="0.3">
      <c r="A193" s="5">
        <v>376251</v>
      </c>
      <c r="B193" s="6" t="s">
        <v>16</v>
      </c>
      <c r="C193" s="7">
        <v>62067338533</v>
      </c>
      <c r="D193" s="5" t="s">
        <v>9</v>
      </c>
      <c r="E193" s="6" t="s">
        <v>5</v>
      </c>
      <c r="F193" s="8">
        <v>42404</v>
      </c>
    </row>
    <row r="194" spans="1:6" x14ac:dyDescent="0.3">
      <c r="A194" s="5">
        <v>123315</v>
      </c>
      <c r="B194" s="6" t="s">
        <v>7</v>
      </c>
      <c r="C194" s="26">
        <v>5410228197362</v>
      </c>
      <c r="D194" s="5" t="s">
        <v>6</v>
      </c>
      <c r="E194" s="6" t="s">
        <v>5</v>
      </c>
      <c r="F194" s="8">
        <v>42403</v>
      </c>
    </row>
    <row r="195" spans="1:6" ht="27.95" x14ac:dyDescent="0.3">
      <c r="A195" s="5" t="s">
        <v>162</v>
      </c>
      <c r="B195" s="6" t="s">
        <v>162</v>
      </c>
      <c r="C195" s="26" t="s">
        <v>162</v>
      </c>
      <c r="D195" s="5" t="s">
        <v>162</v>
      </c>
      <c r="E195" s="9" t="s">
        <v>161</v>
      </c>
      <c r="F195" s="8">
        <v>42389</v>
      </c>
    </row>
    <row r="196" spans="1:6" x14ac:dyDescent="0.3">
      <c r="A196" s="5">
        <v>440941</v>
      </c>
      <c r="B196" s="6" t="s">
        <v>8</v>
      </c>
      <c r="C196" s="7">
        <v>40232313622</v>
      </c>
      <c r="D196" s="5" t="s">
        <v>9</v>
      </c>
      <c r="E196" s="6" t="s">
        <v>10</v>
      </c>
      <c r="F196" s="8">
        <v>42384</v>
      </c>
    </row>
    <row r="197" spans="1:6" x14ac:dyDescent="0.3">
      <c r="A197" s="5">
        <v>397786</v>
      </c>
      <c r="B197" s="6" t="s">
        <v>8</v>
      </c>
      <c r="C197" s="26">
        <v>662989300016</v>
      </c>
      <c r="D197" s="5" t="s">
        <v>9</v>
      </c>
      <c r="E197" s="6" t="s">
        <v>5</v>
      </c>
      <c r="F197" s="8">
        <v>42384</v>
      </c>
    </row>
    <row r="198" spans="1:6" x14ac:dyDescent="0.3">
      <c r="A198" s="5" t="str">
        <f>"0484428"</f>
        <v>0484428</v>
      </c>
      <c r="B198" s="6" t="s">
        <v>298</v>
      </c>
      <c r="C198" s="26" t="str">
        <f>"797698420851"</f>
        <v>797698420851</v>
      </c>
      <c r="D198" s="5" t="s">
        <v>25</v>
      </c>
      <c r="E198" s="6" t="s">
        <v>5</v>
      </c>
      <c r="F198" s="8">
        <v>42696</v>
      </c>
    </row>
  </sheetData>
  <autoFilter ref="A3:F198" xr:uid="{00000000-0009-0000-0000-000005000000}"/>
  <pageMargins left="0.7" right="0.7" top="0.75" bottom="0.75" header="0.3" footer="0.3"/>
  <pageSetup paperSize="5" orientation="landscape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'2023'!Print_Titles</vt:lpstr>
      <vt:lpstr>'2024'!Print_Titles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</dc:creator>
  <cp:lastModifiedBy>Garner, Holly</cp:lastModifiedBy>
  <cp:lastPrinted>2023-04-05T17:23:20Z</cp:lastPrinted>
  <dcterms:created xsi:type="dcterms:W3CDTF">2016-02-04T23:32:11Z</dcterms:created>
  <dcterms:modified xsi:type="dcterms:W3CDTF">2024-04-09T18:51:27Z</dcterms:modified>
</cp:coreProperties>
</file>